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almiragonzalez\Documents\site\Federalizados\Ejercicio2024\Publicaciones\"/>
    </mc:Choice>
  </mc:AlternateContent>
  <bookViews>
    <workbookView xWindow="0" yWindow="0" windowWidth="28800" windowHeight="12435"/>
  </bookViews>
  <sheets>
    <sheet name="CALENDARIO 2024" sheetId="23" r:id="rId1"/>
    <sheet name="Consolidado" sheetId="3" r:id="rId2"/>
    <sheet name="FGP" sheetId="4" r:id="rId3"/>
    <sheet name="FFM" sheetId="5" r:id="rId4"/>
    <sheet name="FOFIR" sheetId="8" r:id="rId5"/>
    <sheet name="IEPS TyA" sheetId="20" r:id="rId6"/>
    <sheet name="IEPS GyD " sheetId="7" r:id="rId7"/>
    <sheet name="Incentivo ISAN" sheetId="14" r:id="rId8"/>
    <sheet name="FOCO ISAN" sheetId="13" r:id="rId9"/>
    <sheet name="ISR Enaje" sheetId="65" r:id="rId10"/>
    <sheet name="IEPS 2014 " sheetId="21" r:id="rId11"/>
    <sheet name="Datos" sheetId="15" state="veryHidden" r:id="rId12"/>
    <sheet name="CENSO 2020" sheetId="11" r:id="rId13"/>
    <sheet name="Predial y Agua" sheetId="1" r:id="rId14"/>
    <sheet name="FOCO ISAN (2)" sheetId="32" state="veryHidden" r:id="rId15"/>
    <sheet name=" FOCO INCREMENTO" sheetId="35" state="veryHidden" r:id="rId16"/>
    <sheet name=" FOCO ESTIMACION" sheetId="36" state="veryHidden" r:id="rId17"/>
    <sheet name="F.G.P. 2024" sheetId="50" r:id="rId18"/>
    <sheet name="F.F.M.2024" sheetId="46" r:id="rId19"/>
    <sheet name="IEPS2024" sheetId="43" r:id="rId20"/>
    <sheet name="IEPSGAS2024" sheetId="40" r:id="rId21"/>
    <sheet name="FOFIR2024" sheetId="37" r:id="rId22"/>
    <sheet name="ISAN 2024" sheetId="33" r:id="rId23"/>
    <sheet name="FOCO ISAN 2024 " sheetId="62" r:id="rId24"/>
    <sheet name="ISR 2024" sheetId="67" r:id="rId25"/>
    <sheet name="ISR EJANE 2024" sheetId="68" r:id="rId26"/>
    <sheet name="FOFIR  INCREMENTO" sheetId="38" state="veryHidden" r:id="rId27"/>
    <sheet name="FOFIR ESTIMACIONES" sheetId="39" state="veryHidden" r:id="rId28"/>
    <sheet name="IEPSGASINCREMENTO" sheetId="41" state="veryHidden" r:id="rId29"/>
    <sheet name="IEPSGAS ESTIMACIONES" sheetId="42" state="veryHidden" r:id="rId30"/>
    <sheet name="IEPS INCREMENTO" sheetId="44" state="veryHidden" r:id="rId31"/>
    <sheet name="IEPS ESTIMACIONES" sheetId="45" state="veryHidden" r:id="rId32"/>
    <sheet name="IEPS2020 (2)" sheetId="59" state="hidden" r:id="rId33"/>
    <sheet name="F.F.M30%" sheetId="47" state="veryHidden" r:id="rId34"/>
    <sheet name="F.F.M.70%" sheetId="48" state="veryHidden" r:id="rId35"/>
    <sheet name="F.F.M.ESTIIMACIONES 2014" sheetId="49" state="veryHidden" r:id="rId36"/>
    <sheet name="F.G.P.INCREMENTO" sheetId="51" state="veryHidden" r:id="rId37"/>
    <sheet name="F.G.P. ESTIMACIONES 2014" sheetId="52" state="veryHidden" r:id="rId38"/>
    <sheet name="F.G.P. 2020 (2)" sheetId="56" state="veryHidden" r:id="rId39"/>
    <sheet name="F.F.M.2020 (2)" sheetId="57" state="veryHidden" r:id="rId40"/>
    <sheet name="FOCO 2020 (2)" sheetId="58" state="veryHidden" r:id="rId41"/>
    <sheet name="IEPSGAS 2020 (2)" sheetId="60" state="veryHidden" r:id="rId42"/>
    <sheet name="FOFIR 2020 (2)" sheetId="61" state="veryHidden" r:id="rId43"/>
    <sheet name="ISAN Recaudacion (2)" sheetId="63" state="hidden" r:id="rId44"/>
    <sheet name="ISR" sheetId="72" state="veryHidden" r:id="rId45"/>
    <sheet name="ENAJENACION" sheetId="70" state="veryHidden" r:id="rId46"/>
    <sheet name="X22.55 POE" sheetId="66" state="veryHidden" r:id="rId47"/>
    <sheet name="X22.55 DOF" sheetId="71" state="veryHidden" r:id="rId48"/>
    <sheet name="FGP 30%" sheetId="18" state="veryHidden" r:id="rId49"/>
    <sheet name="FGP 10%" sheetId="19" state="veryHidden" r:id="rId50"/>
  </sheets>
  <externalReferences>
    <externalReference r:id="rId51"/>
    <externalReference r:id="rId52"/>
    <externalReference r:id="rId53"/>
    <externalReference r:id="rId54"/>
    <externalReference r:id="rId55"/>
    <externalReference r:id="rId56"/>
  </externalReferences>
  <definedNames>
    <definedName name="_xlnm.Print_Area" localSheetId="0">'CALENDARIO 2024'!$A$1:$G$45</definedName>
    <definedName name="_xlnm.Print_Area" localSheetId="12">'CENSO 2020'!$B$3:$C$34</definedName>
    <definedName name="_xlnm.Print_Area" localSheetId="11">Datos!$B$2:$K$67</definedName>
    <definedName name="_xlnm.Print_Area" localSheetId="18">F.F.M.2024!$A$1:$O$25</definedName>
    <definedName name="_xlnm.Print_Area" localSheetId="17">'F.G.P. 2024'!$A$1:$O$25</definedName>
    <definedName name="_xlnm.Print_Area" localSheetId="8">'FOCO ISAN'!$B$1:$I$28</definedName>
    <definedName name="_xlnm.Print_Area" localSheetId="23">'FOCO ISAN 2024 '!$A$1:$O$25</definedName>
    <definedName name="_xlnm.Print_Area" localSheetId="4">FOFIR!$B$1:$K$32</definedName>
    <definedName name="_xlnm.Print_Area" localSheetId="21">FOFIR2024!$A$1:$N$25</definedName>
    <definedName name="_xlnm.Print_Area" localSheetId="10">'IEPS 2014 '!$A$1:$O$31</definedName>
    <definedName name="_xlnm.Print_Area" localSheetId="6">'IEPS GyD '!$B$1:$E$30</definedName>
    <definedName name="_xlnm.Print_Area" localSheetId="5">'IEPS TyA'!$B$1:$G$29</definedName>
    <definedName name="_xlnm.Print_Area" localSheetId="19">IEPS2024!$A$1:$O$27</definedName>
    <definedName name="_xlnm.Print_Area" localSheetId="20">IEPSGAS2024!$A$1:$O$25</definedName>
    <definedName name="_xlnm.Print_Area" localSheetId="7">'Incentivo ISAN'!$B$1:$K$28</definedName>
    <definedName name="_xlnm.Print_Area" localSheetId="22">'ISAN 2024'!$A$1:$O$25</definedName>
    <definedName name="_xlnm.Print_Area" localSheetId="24">'ISR 2024'!$A$1:$O$25</definedName>
    <definedName name="_xlnm.Print_Area" localSheetId="25">'ISR EJANE 2024'!$A$1:$O$25</definedName>
    <definedName name="_xlnm.Print_Area" localSheetId="9">'ISR Enaje'!$B$1:$S$33</definedName>
    <definedName name="_xlnm.Print_Area" localSheetId="13">'Predial y Agua'!$A$1:$G$27</definedName>
    <definedName name="_xlnm.Print_Area" localSheetId="47">'X22.55 DOF'!$A$5:$M$109</definedName>
    <definedName name="_xlnm.Print_Area" localSheetId="46">'X22.55 POE'!$A$1:$M$194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0" l="1"/>
  <c r="D5" i="40"/>
  <c r="E5" i="40"/>
  <c r="F5" i="40"/>
  <c r="G5" i="40"/>
  <c r="H5" i="40"/>
  <c r="I5" i="40"/>
  <c r="J5" i="40"/>
  <c r="K5" i="40"/>
  <c r="L5" i="40"/>
  <c r="M5" i="40"/>
  <c r="N5" i="40"/>
  <c r="C6" i="40"/>
  <c r="D6" i="40"/>
  <c r="E6" i="40"/>
  <c r="F6" i="40"/>
  <c r="G6" i="40"/>
  <c r="H6" i="40"/>
  <c r="I6" i="40"/>
  <c r="J6" i="40"/>
  <c r="K6" i="40"/>
  <c r="L6" i="40"/>
  <c r="M6" i="40"/>
  <c r="N6" i="40"/>
  <c r="C7" i="40"/>
  <c r="D7" i="40"/>
  <c r="E7" i="40"/>
  <c r="F7" i="40"/>
  <c r="G7" i="40"/>
  <c r="H7" i="40"/>
  <c r="I7" i="40"/>
  <c r="J7" i="40"/>
  <c r="K7" i="40"/>
  <c r="L7" i="40"/>
  <c r="M7" i="40"/>
  <c r="N7" i="40"/>
  <c r="C8" i="40"/>
  <c r="D8" i="40"/>
  <c r="E8" i="40"/>
  <c r="F8" i="40"/>
  <c r="G8" i="40"/>
  <c r="H8" i="40"/>
  <c r="I8" i="40"/>
  <c r="J8" i="40"/>
  <c r="K8" i="40"/>
  <c r="L8" i="40"/>
  <c r="M8" i="40"/>
  <c r="N8" i="40"/>
  <c r="C9" i="40"/>
  <c r="D9" i="40"/>
  <c r="E9" i="40"/>
  <c r="F9" i="40"/>
  <c r="G9" i="40"/>
  <c r="H9" i="40"/>
  <c r="I9" i="40"/>
  <c r="J9" i="40"/>
  <c r="K9" i="40"/>
  <c r="L9" i="40"/>
  <c r="M9" i="40"/>
  <c r="N9" i="40"/>
  <c r="C10" i="40"/>
  <c r="D10" i="40"/>
  <c r="E10" i="40"/>
  <c r="F10" i="40"/>
  <c r="G10" i="40"/>
  <c r="H10" i="40"/>
  <c r="I10" i="40"/>
  <c r="J10" i="40"/>
  <c r="K10" i="40"/>
  <c r="L10" i="40"/>
  <c r="M10" i="40"/>
  <c r="N10" i="40"/>
  <c r="C11" i="40"/>
  <c r="D11" i="40"/>
  <c r="E11" i="40"/>
  <c r="F11" i="40"/>
  <c r="G11" i="40"/>
  <c r="H11" i="40"/>
  <c r="I11" i="40"/>
  <c r="J11" i="40"/>
  <c r="K11" i="40"/>
  <c r="L11" i="40"/>
  <c r="M11" i="40"/>
  <c r="N11" i="40"/>
  <c r="C12" i="40"/>
  <c r="D12" i="40"/>
  <c r="E12" i="40"/>
  <c r="F12" i="40"/>
  <c r="G12" i="40"/>
  <c r="H12" i="40"/>
  <c r="I12" i="40"/>
  <c r="J12" i="40"/>
  <c r="K12" i="40"/>
  <c r="L12" i="40"/>
  <c r="M12" i="40"/>
  <c r="N12" i="40"/>
  <c r="C13" i="40"/>
  <c r="D13" i="40"/>
  <c r="E13" i="40"/>
  <c r="F13" i="40"/>
  <c r="G13" i="40"/>
  <c r="H13" i="40"/>
  <c r="I13" i="40"/>
  <c r="J13" i="40"/>
  <c r="K13" i="40"/>
  <c r="L13" i="40"/>
  <c r="M13" i="40"/>
  <c r="N13" i="40"/>
  <c r="C14" i="40"/>
  <c r="D14" i="40"/>
  <c r="E14" i="40"/>
  <c r="F14" i="40"/>
  <c r="G14" i="40"/>
  <c r="H14" i="40"/>
  <c r="I14" i="40"/>
  <c r="J14" i="40"/>
  <c r="K14" i="40"/>
  <c r="L14" i="40"/>
  <c r="M14" i="40"/>
  <c r="N14" i="40"/>
  <c r="C15" i="40"/>
  <c r="D15" i="40"/>
  <c r="E15" i="40"/>
  <c r="F15" i="40"/>
  <c r="G15" i="40"/>
  <c r="H15" i="40"/>
  <c r="I15" i="40"/>
  <c r="J15" i="40"/>
  <c r="K15" i="40"/>
  <c r="L15" i="40"/>
  <c r="M15" i="40"/>
  <c r="N15" i="40"/>
  <c r="C16" i="40"/>
  <c r="D16" i="40"/>
  <c r="E16" i="40"/>
  <c r="F16" i="40"/>
  <c r="G16" i="40"/>
  <c r="H16" i="40"/>
  <c r="I16" i="40"/>
  <c r="J16" i="40"/>
  <c r="K16" i="40"/>
  <c r="L16" i="40"/>
  <c r="M16" i="40"/>
  <c r="N16" i="40"/>
  <c r="C17" i="40"/>
  <c r="D17" i="40"/>
  <c r="E17" i="40"/>
  <c r="F17" i="40"/>
  <c r="G17" i="40"/>
  <c r="H17" i="40"/>
  <c r="I17" i="40"/>
  <c r="J17" i="40"/>
  <c r="K17" i="40"/>
  <c r="L17" i="40"/>
  <c r="M17" i="40"/>
  <c r="N17" i="40"/>
  <c r="C18" i="40"/>
  <c r="D18" i="40"/>
  <c r="E18" i="40"/>
  <c r="F18" i="40"/>
  <c r="G18" i="40"/>
  <c r="H18" i="40"/>
  <c r="I18" i="40"/>
  <c r="J18" i="40"/>
  <c r="K18" i="40"/>
  <c r="L18" i="40"/>
  <c r="M18" i="40"/>
  <c r="N18" i="40"/>
  <c r="C19" i="40"/>
  <c r="D19" i="40"/>
  <c r="E19" i="40"/>
  <c r="F19" i="40"/>
  <c r="G19" i="40"/>
  <c r="H19" i="40"/>
  <c r="I19" i="40"/>
  <c r="J19" i="40"/>
  <c r="K19" i="40"/>
  <c r="L19" i="40"/>
  <c r="M19" i="40"/>
  <c r="N19" i="40"/>
  <c r="C20" i="40"/>
  <c r="D20" i="40"/>
  <c r="E20" i="40"/>
  <c r="F20" i="40"/>
  <c r="G20" i="40"/>
  <c r="H20" i="40"/>
  <c r="I20" i="40"/>
  <c r="J20" i="40"/>
  <c r="K20" i="40"/>
  <c r="L20" i="40"/>
  <c r="M20" i="40"/>
  <c r="N20" i="40"/>
  <c r="C21" i="40"/>
  <c r="D21" i="40"/>
  <c r="E21" i="40"/>
  <c r="F21" i="40"/>
  <c r="G21" i="40"/>
  <c r="H21" i="40"/>
  <c r="I21" i="40"/>
  <c r="J21" i="40"/>
  <c r="K21" i="40"/>
  <c r="L21" i="40"/>
  <c r="M21" i="40"/>
  <c r="N21" i="40"/>
  <c r="C22" i="40"/>
  <c r="D22" i="40"/>
  <c r="E22" i="40"/>
  <c r="F22" i="40"/>
  <c r="G22" i="40"/>
  <c r="H22" i="40"/>
  <c r="I22" i="40"/>
  <c r="J22" i="40"/>
  <c r="K22" i="40"/>
  <c r="L22" i="40"/>
  <c r="M22" i="40"/>
  <c r="N22" i="40"/>
  <c r="C23" i="40"/>
  <c r="D23" i="40"/>
  <c r="E23" i="40"/>
  <c r="F23" i="40"/>
  <c r="G23" i="40"/>
  <c r="H23" i="40"/>
  <c r="I23" i="40"/>
  <c r="J23" i="40"/>
  <c r="K23" i="40"/>
  <c r="L23" i="40"/>
  <c r="M23" i="40"/>
  <c r="N23" i="40"/>
  <c r="E4" i="40"/>
  <c r="F4" i="40"/>
  <c r="G4" i="40"/>
  <c r="H4" i="40"/>
  <c r="I4" i="40"/>
  <c r="J4" i="40"/>
  <c r="K4" i="40"/>
  <c r="L4" i="40"/>
  <c r="M4" i="40"/>
  <c r="N4" i="40"/>
  <c r="D4" i="40"/>
  <c r="C4" i="40"/>
  <c r="D8" i="41"/>
  <c r="E8" i="41"/>
  <c r="F8" i="41"/>
  <c r="G8" i="41"/>
  <c r="H8" i="41"/>
  <c r="I8" i="41"/>
  <c r="J8" i="41"/>
  <c r="K8" i="41"/>
  <c r="L8" i="41"/>
  <c r="M8" i="41"/>
  <c r="N8" i="41"/>
  <c r="D9" i="41"/>
  <c r="E9" i="41"/>
  <c r="F9" i="41"/>
  <c r="G9" i="41"/>
  <c r="H9" i="41"/>
  <c r="I9" i="41"/>
  <c r="J9" i="41"/>
  <c r="K9" i="41"/>
  <c r="L9" i="41"/>
  <c r="M9" i="41"/>
  <c r="N9" i="41"/>
  <c r="D10" i="41"/>
  <c r="E10" i="41"/>
  <c r="F10" i="41"/>
  <c r="G10" i="41"/>
  <c r="H10" i="41"/>
  <c r="I10" i="41"/>
  <c r="J10" i="41"/>
  <c r="K10" i="41"/>
  <c r="L10" i="41"/>
  <c r="M10" i="41"/>
  <c r="N10" i="41"/>
  <c r="D11" i="41"/>
  <c r="E11" i="41"/>
  <c r="F11" i="41"/>
  <c r="G11" i="41"/>
  <c r="H11" i="41"/>
  <c r="I11" i="41"/>
  <c r="J11" i="41"/>
  <c r="K11" i="41"/>
  <c r="L11" i="41"/>
  <c r="M11" i="41"/>
  <c r="N11" i="41"/>
  <c r="D12" i="41"/>
  <c r="E12" i="41"/>
  <c r="F12" i="41"/>
  <c r="G12" i="41"/>
  <c r="H12" i="41"/>
  <c r="I12" i="41"/>
  <c r="J12" i="41"/>
  <c r="K12" i="41"/>
  <c r="L12" i="41"/>
  <c r="M12" i="41"/>
  <c r="N12" i="41"/>
  <c r="D13" i="41"/>
  <c r="E13" i="41"/>
  <c r="F13" i="41"/>
  <c r="G13" i="41"/>
  <c r="H13" i="41"/>
  <c r="I13" i="41"/>
  <c r="J13" i="41"/>
  <c r="K13" i="41"/>
  <c r="L13" i="41"/>
  <c r="M13" i="41"/>
  <c r="N13" i="41"/>
  <c r="D14" i="41"/>
  <c r="E14" i="41"/>
  <c r="F14" i="41"/>
  <c r="G14" i="41"/>
  <c r="H14" i="41"/>
  <c r="I14" i="41"/>
  <c r="J14" i="41"/>
  <c r="K14" i="41"/>
  <c r="L14" i="41"/>
  <c r="M14" i="41"/>
  <c r="N14" i="41"/>
  <c r="D15" i="41"/>
  <c r="E15" i="41"/>
  <c r="F15" i="41"/>
  <c r="G15" i="41"/>
  <c r="H15" i="41"/>
  <c r="I15" i="41"/>
  <c r="J15" i="41"/>
  <c r="K15" i="41"/>
  <c r="L15" i="41"/>
  <c r="M15" i="41"/>
  <c r="N15" i="41"/>
  <c r="D16" i="41"/>
  <c r="E16" i="41"/>
  <c r="F16" i="41"/>
  <c r="G16" i="41"/>
  <c r="H16" i="41"/>
  <c r="I16" i="41"/>
  <c r="J16" i="41"/>
  <c r="K16" i="41"/>
  <c r="L16" i="41"/>
  <c r="M16" i="41"/>
  <c r="N16" i="41"/>
  <c r="D17" i="41"/>
  <c r="E17" i="41"/>
  <c r="F17" i="41"/>
  <c r="G17" i="41"/>
  <c r="H17" i="41"/>
  <c r="I17" i="41"/>
  <c r="J17" i="41"/>
  <c r="K17" i="41"/>
  <c r="L17" i="41"/>
  <c r="M17" i="41"/>
  <c r="N17" i="41"/>
  <c r="D18" i="41"/>
  <c r="E18" i="41"/>
  <c r="F18" i="41"/>
  <c r="G18" i="41"/>
  <c r="H18" i="41"/>
  <c r="I18" i="41"/>
  <c r="J18" i="41"/>
  <c r="K18" i="41"/>
  <c r="L18" i="41"/>
  <c r="M18" i="41"/>
  <c r="N18" i="41"/>
  <c r="D19" i="41"/>
  <c r="E19" i="41"/>
  <c r="F19" i="41"/>
  <c r="G19" i="41"/>
  <c r="H19" i="41"/>
  <c r="I19" i="41"/>
  <c r="J19" i="41"/>
  <c r="K19" i="41"/>
  <c r="L19" i="41"/>
  <c r="M19" i="41"/>
  <c r="N19" i="41"/>
  <c r="D20" i="41"/>
  <c r="E20" i="41"/>
  <c r="F20" i="41"/>
  <c r="G20" i="41"/>
  <c r="H20" i="41"/>
  <c r="I20" i="41"/>
  <c r="J20" i="41"/>
  <c r="K20" i="41"/>
  <c r="L20" i="41"/>
  <c r="M20" i="41"/>
  <c r="N20" i="41"/>
  <c r="D21" i="41"/>
  <c r="E21" i="41"/>
  <c r="F21" i="41"/>
  <c r="G21" i="41"/>
  <c r="H21" i="41"/>
  <c r="I21" i="41"/>
  <c r="J21" i="41"/>
  <c r="K21" i="41"/>
  <c r="L21" i="41"/>
  <c r="M21" i="41"/>
  <c r="N21" i="41"/>
  <c r="D22" i="41"/>
  <c r="E22" i="41"/>
  <c r="F22" i="41"/>
  <c r="G22" i="41"/>
  <c r="H22" i="41"/>
  <c r="I22" i="41"/>
  <c r="J22" i="41"/>
  <c r="K22" i="41"/>
  <c r="L22" i="41"/>
  <c r="M22" i="41"/>
  <c r="N22" i="41"/>
  <c r="D23" i="41"/>
  <c r="E23" i="41"/>
  <c r="F23" i="41"/>
  <c r="G23" i="41"/>
  <c r="H23" i="41"/>
  <c r="I23" i="41"/>
  <c r="J23" i="41"/>
  <c r="K23" i="41"/>
  <c r="L23" i="41"/>
  <c r="M23" i="41"/>
  <c r="N23" i="41"/>
  <c r="D24" i="41"/>
  <c r="E24" i="41"/>
  <c r="F24" i="41"/>
  <c r="G24" i="41"/>
  <c r="H24" i="41"/>
  <c r="I24" i="41"/>
  <c r="J24" i="41"/>
  <c r="K24" i="41"/>
  <c r="L24" i="41"/>
  <c r="M24" i="41"/>
  <c r="N24" i="41"/>
  <c r="D25" i="41"/>
  <c r="E25" i="41"/>
  <c r="F25" i="41"/>
  <c r="G25" i="41"/>
  <c r="H25" i="41"/>
  <c r="I25" i="41"/>
  <c r="J25" i="41"/>
  <c r="K25" i="41"/>
  <c r="L25" i="41"/>
  <c r="M25" i="41"/>
  <c r="N25" i="41"/>
  <c r="D26" i="41"/>
  <c r="E26" i="41"/>
  <c r="F26" i="41"/>
  <c r="G26" i="41"/>
  <c r="H26" i="41"/>
  <c r="I26" i="41"/>
  <c r="J26" i="41"/>
  <c r="K26" i="41"/>
  <c r="L26" i="41"/>
  <c r="M26" i="41"/>
  <c r="N26" i="41"/>
  <c r="N7" i="41"/>
  <c r="M7" i="41"/>
  <c r="L7" i="41"/>
  <c r="K7" i="41"/>
  <c r="J7" i="41"/>
  <c r="I7" i="41"/>
  <c r="H7" i="41"/>
  <c r="G7" i="41"/>
  <c r="F7" i="41"/>
  <c r="E7" i="41"/>
  <c r="D7" i="41"/>
  <c r="C8" i="41"/>
  <c r="C9" i="41"/>
  <c r="C10" i="41"/>
  <c r="C11" i="41"/>
  <c r="C12" i="41"/>
  <c r="C13" i="41"/>
  <c r="C14" i="41"/>
  <c r="C15" i="41"/>
  <c r="C16" i="41"/>
  <c r="C17" i="41"/>
  <c r="C18" i="41"/>
  <c r="C19" i="41"/>
  <c r="C20" i="41"/>
  <c r="C21" i="41"/>
  <c r="C22" i="41"/>
  <c r="C23" i="41"/>
  <c r="C24" i="41"/>
  <c r="C25" i="41"/>
  <c r="C26" i="41"/>
  <c r="C7" i="41"/>
  <c r="D27" i="41"/>
  <c r="E27" i="41"/>
  <c r="F27" i="41"/>
  <c r="G27" i="41"/>
  <c r="H27" i="41"/>
  <c r="I27" i="41"/>
  <c r="J27" i="41"/>
  <c r="K27" i="41"/>
  <c r="L27" i="41"/>
  <c r="M27" i="41"/>
  <c r="N27" i="41"/>
  <c r="C27" i="41"/>
  <c r="K78" i="15" l="1"/>
  <c r="K69" i="15"/>
  <c r="K44" i="15" l="1"/>
  <c r="I83" i="15" l="1"/>
  <c r="I82" i="15"/>
  <c r="K79" i="15"/>
  <c r="I81" i="15" s="1"/>
  <c r="K70" i="15"/>
  <c r="I74" i="15" s="1"/>
  <c r="I85" i="15" l="1"/>
  <c r="I72" i="15"/>
  <c r="I76" i="15" s="1"/>
  <c r="I73" i="15"/>
  <c r="C8" i="13" l="1"/>
  <c r="C9" i="13"/>
  <c r="C10" i="13"/>
  <c r="C11" i="13"/>
  <c r="C12" i="13"/>
  <c r="C13" i="13"/>
  <c r="C14" i="13"/>
  <c r="C15" i="13"/>
  <c r="C16" i="13"/>
  <c r="C17" i="13"/>
  <c r="C18" i="13"/>
  <c r="C19" i="13"/>
  <c r="C20" i="13"/>
  <c r="C21" i="13"/>
  <c r="C22" i="13"/>
  <c r="C23" i="13"/>
  <c r="C24" i="13"/>
  <c r="C25" i="13"/>
  <c r="C26" i="13"/>
  <c r="C7" i="13"/>
  <c r="C8" i="14"/>
  <c r="C9" i="14"/>
  <c r="C10" i="14"/>
  <c r="C11" i="14"/>
  <c r="C12" i="14"/>
  <c r="C13" i="14"/>
  <c r="C14" i="14"/>
  <c r="C15" i="14"/>
  <c r="C16" i="14"/>
  <c r="C17" i="14"/>
  <c r="C18" i="14"/>
  <c r="C19" i="14"/>
  <c r="C20" i="14"/>
  <c r="C21" i="14"/>
  <c r="C22" i="14"/>
  <c r="C23" i="14"/>
  <c r="C24" i="14"/>
  <c r="C25" i="14"/>
  <c r="C26" i="14"/>
  <c r="C7" i="14"/>
  <c r="C27" i="14" l="1"/>
  <c r="S27" i="72" l="1"/>
  <c r="N27" i="72"/>
  <c r="M27" i="72"/>
  <c r="L27" i="72"/>
  <c r="K27" i="72"/>
  <c r="J27" i="72"/>
  <c r="I27" i="72"/>
  <c r="H27" i="72"/>
  <c r="G27" i="72"/>
  <c r="F27" i="72"/>
  <c r="E27" i="72"/>
  <c r="D27" i="72"/>
  <c r="C27" i="72"/>
  <c r="O26" i="72"/>
  <c r="O25" i="72"/>
  <c r="O24" i="72"/>
  <c r="O23" i="72"/>
  <c r="O22" i="72"/>
  <c r="O21" i="72"/>
  <c r="O20" i="72"/>
  <c r="O19" i="72"/>
  <c r="O18" i="72"/>
  <c r="O17" i="72"/>
  <c r="O16" i="72"/>
  <c r="O15" i="72"/>
  <c r="O14" i="72"/>
  <c r="O13" i="72"/>
  <c r="O12" i="72"/>
  <c r="O11" i="72"/>
  <c r="O10" i="72"/>
  <c r="O9" i="72"/>
  <c r="O8" i="72"/>
  <c r="O7" i="72"/>
  <c r="O27" i="72" l="1"/>
  <c r="Q8" i="72" s="1"/>
  <c r="D18" i="14"/>
  <c r="D22" i="14"/>
  <c r="D10" i="14"/>
  <c r="D26" i="14"/>
  <c r="D14" i="14"/>
  <c r="D16" i="14"/>
  <c r="D15" i="14"/>
  <c r="D24" i="14"/>
  <c r="D17" i="14"/>
  <c r="D7" i="14"/>
  <c r="D11" i="14"/>
  <c r="D20" i="14"/>
  <c r="D8" i="14"/>
  <c r="D13" i="14"/>
  <c r="D21" i="14"/>
  <c r="D23" i="14"/>
  <c r="D12" i="14"/>
  <c r="D25" i="14"/>
  <c r="D9" i="14"/>
  <c r="D19" i="14"/>
  <c r="D21" i="13"/>
  <c r="D16" i="13"/>
  <c r="D7" i="13"/>
  <c r="D11" i="13"/>
  <c r="D26" i="13"/>
  <c r="D17" i="13"/>
  <c r="D12" i="13"/>
  <c r="D23" i="13"/>
  <c r="D18" i="13"/>
  <c r="D13" i="13"/>
  <c r="D24" i="13"/>
  <c r="D8" i="13"/>
  <c r="D22" i="13"/>
  <c r="D19" i="13"/>
  <c r="D10" i="13"/>
  <c r="D25" i="13"/>
  <c r="D9" i="13"/>
  <c r="D20" i="13"/>
  <c r="D14" i="13"/>
  <c r="D15" i="13"/>
  <c r="B5" i="67" l="1"/>
  <c r="R8" i="72"/>
  <c r="Q11" i="72"/>
  <c r="Q14" i="72"/>
  <c r="Q17" i="72"/>
  <c r="Q20" i="72"/>
  <c r="Q23" i="72"/>
  <c r="Q26" i="72"/>
  <c r="Q10" i="72"/>
  <c r="Q13" i="72"/>
  <c r="Q16" i="72"/>
  <c r="Q19" i="72"/>
  <c r="Q22" i="72"/>
  <c r="Q25" i="72"/>
  <c r="Q9" i="72"/>
  <c r="Q12" i="72"/>
  <c r="Q7" i="72"/>
  <c r="Q15" i="72"/>
  <c r="Q18" i="72"/>
  <c r="Q21" i="72"/>
  <c r="Q24" i="72"/>
  <c r="D27" i="14"/>
  <c r="D27" i="13"/>
  <c r="R21" i="72" l="1"/>
  <c r="B18" i="67"/>
  <c r="R12" i="72"/>
  <c r="B9" i="67"/>
  <c r="R19" i="72"/>
  <c r="B16" i="67"/>
  <c r="R26" i="72"/>
  <c r="B23" i="67"/>
  <c r="R14" i="72"/>
  <c r="B11" i="67"/>
  <c r="R18" i="72"/>
  <c r="B15" i="67"/>
  <c r="B6" i="67"/>
  <c r="R9" i="72"/>
  <c r="R16" i="72"/>
  <c r="B13" i="67"/>
  <c r="R23" i="72"/>
  <c r="B20" i="67"/>
  <c r="R11" i="72"/>
  <c r="B8" i="67"/>
  <c r="B12" i="67"/>
  <c r="R15" i="72"/>
  <c r="B22" i="67"/>
  <c r="R25" i="72"/>
  <c r="R13" i="72"/>
  <c r="B10" i="67"/>
  <c r="R20" i="72"/>
  <c r="B17" i="67"/>
  <c r="R24" i="72"/>
  <c r="B21" i="67"/>
  <c r="B4" i="67"/>
  <c r="R7" i="72"/>
  <c r="R22" i="72"/>
  <c r="B19" i="67"/>
  <c r="Q27" i="72"/>
  <c r="B7" i="67"/>
  <c r="R10" i="72"/>
  <c r="R17" i="72"/>
  <c r="B14" i="67"/>
  <c r="D27" i="45"/>
  <c r="E27" i="45"/>
  <c r="F27" i="45"/>
  <c r="G27" i="45"/>
  <c r="H27" i="45"/>
  <c r="I27" i="45"/>
  <c r="J27" i="45"/>
  <c r="K27" i="45"/>
  <c r="L27" i="45"/>
  <c r="M27" i="45"/>
  <c r="N27" i="45"/>
  <c r="C27" i="45"/>
  <c r="R27" i="72" l="1"/>
  <c r="B12" i="71"/>
  <c r="A10" i="71" l="1"/>
  <c r="D26" i="1" l="1"/>
  <c r="D25" i="1"/>
  <c r="D24" i="1"/>
  <c r="D23" i="1"/>
  <c r="D22" i="1"/>
  <c r="D21" i="1"/>
  <c r="D20" i="1"/>
  <c r="D19" i="1"/>
  <c r="D18" i="1"/>
  <c r="D17" i="1"/>
  <c r="D16" i="1"/>
  <c r="D15" i="1"/>
  <c r="D14" i="1"/>
  <c r="D13" i="1"/>
  <c r="D12" i="1"/>
  <c r="D11" i="1"/>
  <c r="D10" i="1"/>
  <c r="D9" i="1"/>
  <c r="D8" i="1"/>
  <c r="D7" i="1"/>
  <c r="I39" i="15" l="1"/>
  <c r="R27" i="70" l="1"/>
  <c r="R8" i="70"/>
  <c r="R9" i="70"/>
  <c r="R10" i="70"/>
  <c r="R11" i="70"/>
  <c r="R12" i="70"/>
  <c r="R13" i="70"/>
  <c r="R14" i="70"/>
  <c r="R15" i="70"/>
  <c r="R16" i="70"/>
  <c r="R17" i="70"/>
  <c r="R18" i="70"/>
  <c r="R19" i="70"/>
  <c r="R20" i="70"/>
  <c r="R21" i="70"/>
  <c r="R22" i="70"/>
  <c r="R23" i="70"/>
  <c r="R24" i="70"/>
  <c r="R25" i="70"/>
  <c r="R26" i="70"/>
  <c r="R7" i="70"/>
  <c r="V28" i="65"/>
  <c r="D27" i="36" l="1"/>
  <c r="E27" i="36"/>
  <c r="F27" i="36"/>
  <c r="G27" i="36"/>
  <c r="H27" i="36"/>
  <c r="I27" i="36"/>
  <c r="J27" i="36"/>
  <c r="K27" i="36"/>
  <c r="L27" i="36"/>
  <c r="M27" i="36"/>
  <c r="N27" i="36"/>
  <c r="C27" i="36"/>
  <c r="I41" i="15"/>
  <c r="N190" i="66" l="1"/>
  <c r="C9" i="65"/>
  <c r="C10" i="65"/>
  <c r="C11" i="65"/>
  <c r="C12" i="65"/>
  <c r="C13" i="65"/>
  <c r="C14" i="65"/>
  <c r="C15" i="65"/>
  <c r="C16" i="65"/>
  <c r="C17" i="65"/>
  <c r="C18" i="65"/>
  <c r="C19" i="65"/>
  <c r="C20" i="65"/>
  <c r="C21" i="65"/>
  <c r="C22" i="65"/>
  <c r="C23" i="65"/>
  <c r="C24" i="65"/>
  <c r="C25" i="65"/>
  <c r="C26" i="65"/>
  <c r="C27" i="65"/>
  <c r="C8" i="65"/>
  <c r="K139" i="66"/>
  <c r="C69" i="66"/>
  <c r="D69" i="66"/>
  <c r="E69" i="66"/>
  <c r="F69" i="66"/>
  <c r="G69" i="66"/>
  <c r="H69" i="66"/>
  <c r="I69" i="66"/>
  <c r="J69" i="66"/>
  <c r="K69" i="66"/>
  <c r="L69" i="66"/>
  <c r="M69" i="66"/>
  <c r="B69" i="66"/>
  <c r="M113" i="71"/>
  <c r="L113" i="71"/>
  <c r="K113" i="71"/>
  <c r="J113" i="71"/>
  <c r="I113" i="71"/>
  <c r="H113" i="71"/>
  <c r="G113" i="71"/>
  <c r="F113" i="71"/>
  <c r="E113" i="71"/>
  <c r="D113" i="71"/>
  <c r="C113" i="71"/>
  <c r="B113" i="71"/>
  <c r="M108" i="71"/>
  <c r="L108" i="71"/>
  <c r="K108" i="71"/>
  <c r="J108" i="71"/>
  <c r="I108" i="71"/>
  <c r="H108" i="71"/>
  <c r="G108" i="71"/>
  <c r="F108" i="71"/>
  <c r="E108" i="71"/>
  <c r="D108" i="71"/>
  <c r="C108" i="71"/>
  <c r="B108" i="71"/>
  <c r="N106" i="71"/>
  <c r="A106" i="71"/>
  <c r="K104" i="71" s="1"/>
  <c r="M104" i="71"/>
  <c r="M139" i="66" s="1"/>
  <c r="I104" i="71"/>
  <c r="I139" i="66" s="1"/>
  <c r="F104" i="71"/>
  <c r="F139" i="66" s="1"/>
  <c r="E104" i="71"/>
  <c r="E139" i="66" s="1"/>
  <c r="M98" i="71"/>
  <c r="L98" i="71"/>
  <c r="K98" i="71"/>
  <c r="J98" i="71"/>
  <c r="I98" i="71"/>
  <c r="H98" i="71"/>
  <c r="G98" i="71"/>
  <c r="F98" i="71"/>
  <c r="E98" i="71"/>
  <c r="D98" i="71"/>
  <c r="C98" i="71"/>
  <c r="B98" i="71"/>
  <c r="N96" i="71"/>
  <c r="A96" i="71"/>
  <c r="A98" i="71" s="1"/>
  <c r="M88" i="71"/>
  <c r="L88" i="71"/>
  <c r="K88" i="71"/>
  <c r="J88" i="71"/>
  <c r="I88" i="71"/>
  <c r="H88" i="71"/>
  <c r="G88" i="71"/>
  <c r="F88" i="71"/>
  <c r="E88" i="71"/>
  <c r="D88" i="71"/>
  <c r="C88" i="71"/>
  <c r="B88" i="71"/>
  <c r="N86" i="71"/>
  <c r="A86" i="71"/>
  <c r="A88" i="71" s="1"/>
  <c r="F84" i="71"/>
  <c r="F118" i="66" s="1"/>
  <c r="M78" i="71"/>
  <c r="L78" i="71"/>
  <c r="K78" i="71"/>
  <c r="J78" i="71"/>
  <c r="I78" i="71"/>
  <c r="H78" i="71"/>
  <c r="G78" i="71"/>
  <c r="F78" i="71"/>
  <c r="E78" i="71"/>
  <c r="D78" i="71"/>
  <c r="C78" i="71"/>
  <c r="B78" i="71"/>
  <c r="A78" i="71"/>
  <c r="N76" i="71"/>
  <c r="A76" i="71"/>
  <c r="K74" i="71" s="1"/>
  <c r="K93" i="66" s="1"/>
  <c r="M74" i="71"/>
  <c r="M93" i="66" s="1"/>
  <c r="L74" i="71"/>
  <c r="L93" i="66" s="1"/>
  <c r="J74" i="71"/>
  <c r="J93" i="66" s="1"/>
  <c r="I74" i="71"/>
  <c r="I93" i="66" s="1"/>
  <c r="H74" i="71"/>
  <c r="H93" i="66" s="1"/>
  <c r="F74" i="71"/>
  <c r="F93" i="66" s="1"/>
  <c r="E74" i="71"/>
  <c r="E93" i="66" s="1"/>
  <c r="D74" i="71"/>
  <c r="D93" i="66" s="1"/>
  <c r="B74" i="71"/>
  <c r="B93" i="66" s="1"/>
  <c r="M69" i="71"/>
  <c r="L69" i="71"/>
  <c r="K69" i="71"/>
  <c r="J69" i="71"/>
  <c r="I69" i="71"/>
  <c r="H69" i="71"/>
  <c r="G69" i="71"/>
  <c r="F69" i="71"/>
  <c r="E69" i="71"/>
  <c r="D69" i="71"/>
  <c r="C69" i="71"/>
  <c r="B69" i="71"/>
  <c r="N67" i="71"/>
  <c r="A67" i="71"/>
  <c r="K65" i="71" s="1"/>
  <c r="K81" i="66" s="1"/>
  <c r="M60" i="71"/>
  <c r="L60" i="71"/>
  <c r="K60" i="71"/>
  <c r="J60" i="71"/>
  <c r="I60" i="71"/>
  <c r="H60" i="71"/>
  <c r="G60" i="71"/>
  <c r="F60" i="71"/>
  <c r="E60" i="71"/>
  <c r="D60" i="71"/>
  <c r="C60" i="71"/>
  <c r="B60" i="71"/>
  <c r="N60" i="71" s="1"/>
  <c r="N58" i="71"/>
  <c r="A58" i="71"/>
  <c r="K56" i="71" s="1"/>
  <c r="M56" i="71"/>
  <c r="J56" i="71"/>
  <c r="I56" i="71"/>
  <c r="F56" i="71"/>
  <c r="E56" i="71"/>
  <c r="B56" i="71"/>
  <c r="M51" i="71"/>
  <c r="L51" i="71"/>
  <c r="K51" i="71"/>
  <c r="J51" i="71"/>
  <c r="I51" i="71"/>
  <c r="H51" i="71"/>
  <c r="G51" i="71"/>
  <c r="F51" i="71"/>
  <c r="E51" i="71"/>
  <c r="D51" i="71"/>
  <c r="C51" i="71"/>
  <c r="B51" i="71"/>
  <c r="N49" i="71"/>
  <c r="A49" i="71"/>
  <c r="A51" i="71" s="1"/>
  <c r="M42" i="71"/>
  <c r="L42" i="71"/>
  <c r="K42" i="71"/>
  <c r="J42" i="71"/>
  <c r="I42" i="71"/>
  <c r="H42" i="71"/>
  <c r="G42" i="71"/>
  <c r="F42" i="71"/>
  <c r="E42" i="71"/>
  <c r="D42" i="71"/>
  <c r="C42" i="71"/>
  <c r="B42" i="71"/>
  <c r="A42" i="71"/>
  <c r="N40" i="71"/>
  <c r="A40" i="71"/>
  <c r="K38" i="71" s="1"/>
  <c r="K45" i="66" s="1"/>
  <c r="M38" i="71"/>
  <c r="M45" i="66" s="1"/>
  <c r="L38" i="71"/>
  <c r="L45" i="66" s="1"/>
  <c r="J38" i="71"/>
  <c r="J45" i="66" s="1"/>
  <c r="I38" i="71"/>
  <c r="I45" i="66" s="1"/>
  <c r="H38" i="71"/>
  <c r="H45" i="66" s="1"/>
  <c r="F38" i="71"/>
  <c r="F45" i="66" s="1"/>
  <c r="E38" i="71"/>
  <c r="E45" i="66" s="1"/>
  <c r="D38" i="71"/>
  <c r="D45" i="66" s="1"/>
  <c r="B38" i="71"/>
  <c r="B45" i="66" s="1"/>
  <c r="M33" i="71"/>
  <c r="L33" i="71"/>
  <c r="K33" i="71"/>
  <c r="J33" i="71"/>
  <c r="I33" i="71"/>
  <c r="H33" i="71"/>
  <c r="G33" i="71"/>
  <c r="F33" i="71"/>
  <c r="E33" i="71"/>
  <c r="D33" i="71"/>
  <c r="C33" i="71"/>
  <c r="B33" i="71"/>
  <c r="N31" i="71"/>
  <c r="A31" i="71"/>
  <c r="K29" i="71" s="1"/>
  <c r="K34" i="66" s="1"/>
  <c r="L29" i="71"/>
  <c r="L34" i="66" s="1"/>
  <c r="E29" i="71"/>
  <c r="E34" i="66" s="1"/>
  <c r="M21" i="71"/>
  <c r="L21" i="71"/>
  <c r="K21" i="71"/>
  <c r="J21" i="71"/>
  <c r="I21" i="71"/>
  <c r="H21" i="71"/>
  <c r="G21" i="71"/>
  <c r="F21" i="71"/>
  <c r="E21" i="71"/>
  <c r="D21" i="71"/>
  <c r="C21" i="71"/>
  <c r="B21" i="71"/>
  <c r="M20" i="71"/>
  <c r="L20" i="71"/>
  <c r="K20" i="71"/>
  <c r="J20" i="71"/>
  <c r="I20" i="71"/>
  <c r="H20" i="71"/>
  <c r="G20" i="71"/>
  <c r="F20" i="71"/>
  <c r="E20" i="71"/>
  <c r="D20" i="71"/>
  <c r="C20" i="71"/>
  <c r="B20" i="71"/>
  <c r="N19" i="71"/>
  <c r="A19" i="71"/>
  <c r="L17" i="71" s="1"/>
  <c r="L20" i="66" s="1"/>
  <c r="M12" i="71"/>
  <c r="L12" i="71"/>
  <c r="K12" i="71"/>
  <c r="J12" i="71"/>
  <c r="I12" i="71"/>
  <c r="H12" i="71"/>
  <c r="G12" i="71"/>
  <c r="F12" i="71"/>
  <c r="E12" i="71"/>
  <c r="D12" i="71"/>
  <c r="C12" i="71"/>
  <c r="A12" i="71"/>
  <c r="N10" i="71"/>
  <c r="M7" i="71"/>
  <c r="M7" i="66" s="1"/>
  <c r="L7" i="71"/>
  <c r="L7" i="66" s="1"/>
  <c r="K7" i="71"/>
  <c r="K7" i="66" s="1"/>
  <c r="J7" i="71"/>
  <c r="J7" i="66" s="1"/>
  <c r="I7" i="71"/>
  <c r="I7" i="66" s="1"/>
  <c r="H7" i="71"/>
  <c r="H7" i="66" s="1"/>
  <c r="G7" i="71"/>
  <c r="G7" i="66" s="1"/>
  <c r="F7" i="71"/>
  <c r="F7" i="66" s="1"/>
  <c r="E7" i="71"/>
  <c r="E7" i="66" s="1"/>
  <c r="D7" i="71"/>
  <c r="D7" i="66" s="1"/>
  <c r="C7" i="71"/>
  <c r="C7" i="66" s="1"/>
  <c r="B7" i="71"/>
  <c r="B7" i="66" s="1"/>
  <c r="N108" i="71" l="1"/>
  <c r="B84" i="71"/>
  <c r="B118" i="66" s="1"/>
  <c r="J84" i="71"/>
  <c r="J118" i="66" s="1"/>
  <c r="I84" i="71"/>
  <c r="I118" i="66" s="1"/>
  <c r="E84" i="71"/>
  <c r="E118" i="66" s="1"/>
  <c r="M84" i="71"/>
  <c r="M118" i="66" s="1"/>
  <c r="I29" i="71"/>
  <c r="I34" i="66" s="1"/>
  <c r="F29" i="71"/>
  <c r="F34" i="66" s="1"/>
  <c r="D29" i="71"/>
  <c r="D34" i="66" s="1"/>
  <c r="J29" i="71"/>
  <c r="J34" i="66" s="1"/>
  <c r="A33" i="71"/>
  <c r="N20" i="71"/>
  <c r="N21" i="71"/>
  <c r="C84" i="71"/>
  <c r="C118" i="66" s="1"/>
  <c r="G84" i="71"/>
  <c r="G118" i="66" s="1"/>
  <c r="K84" i="71"/>
  <c r="K118" i="66" s="1"/>
  <c r="D84" i="71"/>
  <c r="D118" i="66" s="1"/>
  <c r="H84" i="71"/>
  <c r="H118" i="66" s="1"/>
  <c r="L84" i="71"/>
  <c r="L118" i="66" s="1"/>
  <c r="B104" i="71"/>
  <c r="B139" i="66" s="1"/>
  <c r="J104" i="71"/>
  <c r="J139" i="66" s="1"/>
  <c r="A108" i="71"/>
  <c r="A116" i="71" s="1"/>
  <c r="A118" i="71" s="1"/>
  <c r="N98" i="71"/>
  <c r="N88" i="71"/>
  <c r="C74" i="71"/>
  <c r="G74" i="71"/>
  <c r="G93" i="66" s="1"/>
  <c r="N78" i="71"/>
  <c r="D65" i="71"/>
  <c r="D81" i="66" s="1"/>
  <c r="I65" i="71"/>
  <c r="I81" i="66" s="1"/>
  <c r="F65" i="71"/>
  <c r="F81" i="66" s="1"/>
  <c r="L65" i="71"/>
  <c r="L81" i="66" s="1"/>
  <c r="A69" i="71"/>
  <c r="E65" i="71"/>
  <c r="E81" i="66" s="1"/>
  <c r="J65" i="71"/>
  <c r="J81" i="66" s="1"/>
  <c r="C116" i="71"/>
  <c r="G116" i="71"/>
  <c r="B65" i="71"/>
  <c r="B81" i="66" s="1"/>
  <c r="H65" i="71"/>
  <c r="H81" i="66" s="1"/>
  <c r="M65" i="71"/>
  <c r="M81" i="66" s="1"/>
  <c r="N69" i="71"/>
  <c r="N51" i="71"/>
  <c r="K116" i="71"/>
  <c r="N42" i="71"/>
  <c r="B116" i="71"/>
  <c r="F116" i="71"/>
  <c r="J116" i="71"/>
  <c r="C38" i="71"/>
  <c r="G38" i="71"/>
  <c r="G45" i="66" s="1"/>
  <c r="N33" i="71"/>
  <c r="P106" i="71"/>
  <c r="D116" i="71"/>
  <c r="H116" i="71"/>
  <c r="L116" i="71"/>
  <c r="B29" i="71"/>
  <c r="B34" i="66" s="1"/>
  <c r="H29" i="71"/>
  <c r="H34" i="66" s="1"/>
  <c r="M29" i="71"/>
  <c r="M34" i="66" s="1"/>
  <c r="E116" i="71"/>
  <c r="I116" i="71"/>
  <c r="M116" i="71"/>
  <c r="A113" i="71"/>
  <c r="A114" i="71"/>
  <c r="A7" i="71"/>
  <c r="N22" i="71"/>
  <c r="B17" i="71"/>
  <c r="B20" i="66" s="1"/>
  <c r="J17" i="71"/>
  <c r="J20" i="66" s="1"/>
  <c r="J94" i="71"/>
  <c r="J129" i="66" s="1"/>
  <c r="K17" i="71"/>
  <c r="K20" i="66" s="1"/>
  <c r="K47" i="71"/>
  <c r="K57" i="66" s="1"/>
  <c r="E17" i="71"/>
  <c r="E20" i="66" s="1"/>
  <c r="I17" i="71"/>
  <c r="I20" i="66" s="1"/>
  <c r="M17" i="71"/>
  <c r="M20" i="66" s="1"/>
  <c r="C29" i="71"/>
  <c r="C34" i="66" s="1"/>
  <c r="G29" i="71"/>
  <c r="G34" i="66" s="1"/>
  <c r="E47" i="71"/>
  <c r="E57" i="66" s="1"/>
  <c r="I47" i="71"/>
  <c r="I57" i="66" s="1"/>
  <c r="M47" i="71"/>
  <c r="M57" i="66" s="1"/>
  <c r="D56" i="71"/>
  <c r="H56" i="71"/>
  <c r="L56" i="71"/>
  <c r="A60" i="71"/>
  <c r="C65" i="71"/>
  <c r="G65" i="71"/>
  <c r="G81" i="66" s="1"/>
  <c r="E94" i="71"/>
  <c r="E129" i="66" s="1"/>
  <c r="I94" i="71"/>
  <c r="I129" i="66" s="1"/>
  <c r="M94" i="71"/>
  <c r="M129" i="66" s="1"/>
  <c r="D104" i="71"/>
  <c r="D139" i="66" s="1"/>
  <c r="H104" i="71"/>
  <c r="H139" i="66" s="1"/>
  <c r="L104" i="71"/>
  <c r="L139" i="66" s="1"/>
  <c r="F17" i="71"/>
  <c r="F20" i="66" s="1"/>
  <c r="F47" i="71"/>
  <c r="F57" i="66" s="1"/>
  <c r="B94" i="71"/>
  <c r="B129" i="66" s="1"/>
  <c r="F94" i="71"/>
  <c r="F129" i="66" s="1"/>
  <c r="G17" i="71"/>
  <c r="G20" i="66" s="1"/>
  <c r="C47" i="71"/>
  <c r="C57" i="66" s="1"/>
  <c r="G47" i="71"/>
  <c r="G57" i="66" s="1"/>
  <c r="C94" i="71"/>
  <c r="C129" i="66" s="1"/>
  <c r="G94" i="71"/>
  <c r="G129" i="66" s="1"/>
  <c r="K94" i="71"/>
  <c r="K129" i="66" s="1"/>
  <c r="B47" i="71"/>
  <c r="B57" i="66" s="1"/>
  <c r="J47" i="71"/>
  <c r="J57" i="66" s="1"/>
  <c r="C17" i="71"/>
  <c r="C20" i="66" s="1"/>
  <c r="N12" i="71"/>
  <c r="D17" i="71"/>
  <c r="D20" i="66" s="1"/>
  <c r="H17" i="71"/>
  <c r="H20" i="66" s="1"/>
  <c r="D47" i="71"/>
  <c r="D57" i="66" s="1"/>
  <c r="H47" i="71"/>
  <c r="H57" i="66" s="1"/>
  <c r="L47" i="71"/>
  <c r="L57" i="66" s="1"/>
  <c r="C56" i="71"/>
  <c r="G56" i="71"/>
  <c r="D94" i="71"/>
  <c r="D129" i="66" s="1"/>
  <c r="H94" i="71"/>
  <c r="H129" i="66" s="1"/>
  <c r="L94" i="71"/>
  <c r="L129" i="66" s="1"/>
  <c r="C104" i="71"/>
  <c r="G104" i="71"/>
  <c r="G139" i="66" s="1"/>
  <c r="A104" i="71" l="1"/>
  <c r="C139" i="66"/>
  <c r="A74" i="71"/>
  <c r="C93" i="66"/>
  <c r="A65" i="71"/>
  <c r="C81" i="66"/>
  <c r="A38" i="71"/>
  <c r="C45" i="66"/>
  <c r="P108" i="71"/>
  <c r="A56" i="71"/>
  <c r="A29" i="71"/>
  <c r="A17" i="71"/>
  <c r="A94" i="71"/>
  <c r="A47" i="71"/>
  <c r="M188" i="66" l="1"/>
  <c r="M192" i="66" s="1"/>
  <c r="L188" i="66"/>
  <c r="L192" i="66" s="1"/>
  <c r="K188" i="66"/>
  <c r="K192" i="66" s="1"/>
  <c r="J188" i="66"/>
  <c r="J192" i="66" s="1"/>
  <c r="I188" i="66"/>
  <c r="I192" i="66" s="1"/>
  <c r="H188" i="66"/>
  <c r="H192" i="66" s="1"/>
  <c r="G188" i="66"/>
  <c r="G192" i="66" s="1"/>
  <c r="F188" i="66"/>
  <c r="F192" i="66" s="1"/>
  <c r="E188" i="66"/>
  <c r="E192" i="66" s="1"/>
  <c r="D188" i="66"/>
  <c r="D192" i="66" s="1"/>
  <c r="C188" i="66"/>
  <c r="C192" i="66" s="1"/>
  <c r="B188" i="66"/>
  <c r="B192" i="66" l="1"/>
  <c r="A188" i="66"/>
  <c r="N192" i="66" l="1"/>
  <c r="O27" i="70"/>
  <c r="N27" i="70"/>
  <c r="M27" i="70"/>
  <c r="L27" i="70"/>
  <c r="K27" i="70"/>
  <c r="J27" i="70"/>
  <c r="I27" i="70"/>
  <c r="H27" i="70"/>
  <c r="G27" i="70"/>
  <c r="F27" i="70"/>
  <c r="E27" i="70"/>
  <c r="D27" i="70"/>
  <c r="C27" i="70"/>
  <c r="P26" i="70"/>
  <c r="P25" i="70"/>
  <c r="P24" i="70"/>
  <c r="P23" i="70"/>
  <c r="P22" i="70"/>
  <c r="P21" i="70"/>
  <c r="P20" i="70"/>
  <c r="P19" i="70"/>
  <c r="P18" i="70"/>
  <c r="P17" i="70"/>
  <c r="P16" i="70"/>
  <c r="P15" i="70"/>
  <c r="P14" i="70"/>
  <c r="P13" i="70"/>
  <c r="P12" i="70"/>
  <c r="P11" i="70"/>
  <c r="P10" i="70"/>
  <c r="P9" i="70"/>
  <c r="P8" i="70"/>
  <c r="P7" i="70"/>
  <c r="P27" i="70" s="1"/>
  <c r="AH26" i="3" l="1"/>
  <c r="AH22" i="3"/>
  <c r="AH18" i="3"/>
  <c r="AH14" i="3"/>
  <c r="AH10" i="3"/>
  <c r="AH25" i="3"/>
  <c r="AH17" i="3"/>
  <c r="AH13" i="3"/>
  <c r="AH24" i="3"/>
  <c r="AH20" i="3"/>
  <c r="AH16" i="3"/>
  <c r="AH12" i="3"/>
  <c r="AH27" i="3"/>
  <c r="AH23" i="3"/>
  <c r="AH19" i="3"/>
  <c r="AH15" i="3"/>
  <c r="AH11" i="3"/>
  <c r="AH21" i="3"/>
  <c r="AH9" i="3"/>
  <c r="AH8" i="3"/>
  <c r="E193" i="66"/>
  <c r="E194" i="66" s="1"/>
  <c r="F24" i="68" s="1"/>
  <c r="I193" i="66"/>
  <c r="I194" i="66" s="1"/>
  <c r="J24" i="68" s="1"/>
  <c r="M193" i="66"/>
  <c r="M194" i="66" s="1"/>
  <c r="N24" i="68" s="1"/>
  <c r="D193" i="66"/>
  <c r="D194" i="66" s="1"/>
  <c r="E24" i="68" s="1"/>
  <c r="J193" i="66"/>
  <c r="J194" i="66" s="1"/>
  <c r="K24" i="68" s="1"/>
  <c r="C193" i="66"/>
  <c r="C194" i="66" s="1"/>
  <c r="D24" i="68" s="1"/>
  <c r="H193" i="66"/>
  <c r="H194" i="66" s="1"/>
  <c r="I24" i="68" s="1"/>
  <c r="G193" i="66"/>
  <c r="G194" i="66" s="1"/>
  <c r="H24" i="68" s="1"/>
  <c r="L193" i="66"/>
  <c r="L194" i="66" s="1"/>
  <c r="M24" i="68" s="1"/>
  <c r="K193" i="66"/>
  <c r="K194" i="66" s="1"/>
  <c r="L24" i="68" s="1"/>
  <c r="F193" i="66"/>
  <c r="F194" i="66" s="1"/>
  <c r="G24" i="68" s="1"/>
  <c r="B193" i="66"/>
  <c r="B194" i="66" s="1"/>
  <c r="C24" i="68" s="1"/>
  <c r="AH28" i="3" l="1"/>
  <c r="B24" i="67"/>
  <c r="D31" i="41"/>
  <c r="E31" i="41"/>
  <c r="F31" i="41"/>
  <c r="G31" i="41"/>
  <c r="H31" i="41"/>
  <c r="I31" i="41"/>
  <c r="J31" i="41"/>
  <c r="K31" i="41"/>
  <c r="L31" i="41"/>
  <c r="M31" i="41"/>
  <c r="N31" i="41"/>
  <c r="C31" i="41"/>
  <c r="F27" i="42"/>
  <c r="F11" i="42" s="1"/>
  <c r="D27" i="42"/>
  <c r="D10" i="42" s="1"/>
  <c r="E27" i="42"/>
  <c r="E10" i="42" s="1"/>
  <c r="G27" i="42"/>
  <c r="G11" i="42" s="1"/>
  <c r="H27" i="42"/>
  <c r="H11" i="42" s="1"/>
  <c r="I27" i="42"/>
  <c r="I11" i="42" s="1"/>
  <c r="J27" i="42"/>
  <c r="J11" i="42" s="1"/>
  <c r="K27" i="42"/>
  <c r="K11" i="42" s="1"/>
  <c r="L27" i="42"/>
  <c r="L11" i="42" s="1"/>
  <c r="M27" i="42"/>
  <c r="M11" i="42" s="1"/>
  <c r="N27" i="42"/>
  <c r="N11" i="42" s="1"/>
  <c r="C27" i="42"/>
  <c r="C10" i="42" s="1"/>
  <c r="L25" i="42" l="1"/>
  <c r="F25" i="42"/>
  <c r="E12" i="42"/>
  <c r="J17" i="42"/>
  <c r="N20" i="42"/>
  <c r="H21" i="42"/>
  <c r="J25" i="42"/>
  <c r="L9" i="42"/>
  <c r="E20" i="42"/>
  <c r="F9" i="42"/>
  <c r="J9" i="42"/>
  <c r="N12" i="42"/>
  <c r="C16" i="42"/>
  <c r="G20" i="42"/>
  <c r="C7" i="42"/>
  <c r="C19" i="42"/>
  <c r="C11" i="42"/>
  <c r="E23" i="42"/>
  <c r="E15" i="42"/>
  <c r="F13" i="42"/>
  <c r="G21" i="42"/>
  <c r="G13" i="42"/>
  <c r="H25" i="42"/>
  <c r="H9" i="42"/>
  <c r="J20" i="42"/>
  <c r="J12" i="42"/>
  <c r="K24" i="42"/>
  <c r="K16" i="42"/>
  <c r="K8" i="42"/>
  <c r="L13" i="42"/>
  <c r="N21" i="42"/>
  <c r="N13" i="42"/>
  <c r="K13" i="42"/>
  <c r="C23" i="42"/>
  <c r="C15" i="42"/>
  <c r="E7" i="42"/>
  <c r="E19" i="42"/>
  <c r="E11" i="42"/>
  <c r="F21" i="42"/>
  <c r="G25" i="42"/>
  <c r="G17" i="42"/>
  <c r="G9" i="42"/>
  <c r="H17" i="42"/>
  <c r="J24" i="42"/>
  <c r="J16" i="42"/>
  <c r="J8" i="42"/>
  <c r="K20" i="42"/>
  <c r="K12" i="42"/>
  <c r="L21" i="42"/>
  <c r="N25" i="42"/>
  <c r="N17" i="42"/>
  <c r="N9" i="42"/>
  <c r="C24" i="42"/>
  <c r="C8" i="42"/>
  <c r="G12" i="42"/>
  <c r="K21" i="42"/>
  <c r="C20" i="42"/>
  <c r="C12" i="42"/>
  <c r="E24" i="42"/>
  <c r="E16" i="42"/>
  <c r="E8" i="42"/>
  <c r="F17" i="42"/>
  <c r="G24" i="42"/>
  <c r="G16" i="42"/>
  <c r="G8" i="42"/>
  <c r="H13" i="42"/>
  <c r="J21" i="42"/>
  <c r="J13" i="42"/>
  <c r="K25" i="42"/>
  <c r="K17" i="42"/>
  <c r="K9" i="42"/>
  <c r="L17" i="42"/>
  <c r="N24" i="42"/>
  <c r="N16" i="42"/>
  <c r="D20" i="42"/>
  <c r="D12" i="42"/>
  <c r="I25" i="42"/>
  <c r="I13" i="42"/>
  <c r="M25" i="42"/>
  <c r="M13" i="42"/>
  <c r="D23" i="42"/>
  <c r="F24" i="42"/>
  <c r="F12" i="42"/>
  <c r="H20" i="42"/>
  <c r="H8" i="42"/>
  <c r="I20" i="42"/>
  <c r="I8" i="42"/>
  <c r="L16" i="42"/>
  <c r="M24" i="42"/>
  <c r="C25" i="42"/>
  <c r="C21" i="42"/>
  <c r="C17" i="42"/>
  <c r="C13" i="42"/>
  <c r="C9" i="42"/>
  <c r="D25" i="42"/>
  <c r="D21" i="42"/>
  <c r="D17" i="42"/>
  <c r="D13" i="42"/>
  <c r="D9" i="42"/>
  <c r="E25" i="42"/>
  <c r="E21" i="42"/>
  <c r="E17" i="42"/>
  <c r="E13" i="42"/>
  <c r="E9" i="42"/>
  <c r="F26" i="42"/>
  <c r="F22" i="42"/>
  <c r="F18" i="42"/>
  <c r="F14" i="42"/>
  <c r="F10" i="42"/>
  <c r="G26" i="42"/>
  <c r="G22" i="42"/>
  <c r="G18" i="42"/>
  <c r="G14" i="42"/>
  <c r="G10" i="42"/>
  <c r="H26" i="42"/>
  <c r="H22" i="42"/>
  <c r="H18" i="42"/>
  <c r="H14" i="42"/>
  <c r="H10" i="42"/>
  <c r="I26" i="42"/>
  <c r="I22" i="42"/>
  <c r="I18" i="42"/>
  <c r="I14" i="42"/>
  <c r="I10" i="42"/>
  <c r="J26" i="42"/>
  <c r="J22" i="42"/>
  <c r="J18" i="42"/>
  <c r="J14" i="42"/>
  <c r="J10" i="42"/>
  <c r="K26" i="42"/>
  <c r="K22" i="42"/>
  <c r="K18" i="42"/>
  <c r="K14" i="42"/>
  <c r="K10" i="42"/>
  <c r="L26" i="42"/>
  <c r="L22" i="42"/>
  <c r="L18" i="42"/>
  <c r="L14" i="42"/>
  <c r="L10" i="42"/>
  <c r="M26" i="42"/>
  <c r="M22" i="42"/>
  <c r="M18" i="42"/>
  <c r="M14" i="42"/>
  <c r="M10" i="42"/>
  <c r="N26" i="42"/>
  <c r="N22" i="42"/>
  <c r="N18" i="42"/>
  <c r="N14" i="42"/>
  <c r="N10" i="42"/>
  <c r="D24" i="42"/>
  <c r="D8" i="42"/>
  <c r="I21" i="42"/>
  <c r="I9" i="42"/>
  <c r="M17" i="42"/>
  <c r="M9" i="42"/>
  <c r="D15" i="42"/>
  <c r="F16" i="42"/>
  <c r="H12" i="42"/>
  <c r="I12" i="42"/>
  <c r="L20" i="42"/>
  <c r="L8" i="42"/>
  <c r="M16" i="42"/>
  <c r="M12" i="42"/>
  <c r="M8" i="42"/>
  <c r="N8" i="42"/>
  <c r="D16" i="42"/>
  <c r="I17" i="42"/>
  <c r="M21" i="42"/>
  <c r="D7" i="42"/>
  <c r="D19" i="42"/>
  <c r="D11" i="42"/>
  <c r="F20" i="42"/>
  <c r="F8" i="42"/>
  <c r="H24" i="42"/>
  <c r="H16" i="42"/>
  <c r="I24" i="42"/>
  <c r="I16" i="42"/>
  <c r="L24" i="42"/>
  <c r="L12" i="42"/>
  <c r="M20" i="42"/>
  <c r="C26" i="42"/>
  <c r="C22" i="42"/>
  <c r="C18" i="42"/>
  <c r="C14" i="42"/>
  <c r="D26" i="42"/>
  <c r="D22" i="42"/>
  <c r="D18" i="42"/>
  <c r="D14" i="42"/>
  <c r="E26" i="42"/>
  <c r="E22" i="42"/>
  <c r="E18" i="42"/>
  <c r="E14" i="42"/>
  <c r="F7" i="42"/>
  <c r="F23" i="42"/>
  <c r="F19" i="42"/>
  <c r="F15" i="42"/>
  <c r="G7" i="42"/>
  <c r="G23" i="42"/>
  <c r="G19" i="42"/>
  <c r="G15" i="42"/>
  <c r="H7" i="42"/>
  <c r="H23" i="42"/>
  <c r="H19" i="42"/>
  <c r="H15" i="42"/>
  <c r="I7" i="42"/>
  <c r="I23" i="42"/>
  <c r="I19" i="42"/>
  <c r="I15" i="42"/>
  <c r="J7" i="42"/>
  <c r="J23" i="42"/>
  <c r="J19" i="42"/>
  <c r="J15" i="42"/>
  <c r="K7" i="42"/>
  <c r="K23" i="42"/>
  <c r="K19" i="42"/>
  <c r="K15" i="42"/>
  <c r="L7" i="42"/>
  <c r="L23" i="42"/>
  <c r="L19" i="42"/>
  <c r="L15" i="42"/>
  <c r="M7" i="42"/>
  <c r="M23" i="42"/>
  <c r="M19" i="42"/>
  <c r="M15" i="42"/>
  <c r="N7" i="42"/>
  <c r="N23" i="42"/>
  <c r="N19" i="42"/>
  <c r="N15" i="42"/>
  <c r="D32" i="45"/>
  <c r="E32" i="45"/>
  <c r="F32" i="45"/>
  <c r="G32" i="45"/>
  <c r="H32" i="45"/>
  <c r="I32" i="45"/>
  <c r="J32" i="45"/>
  <c r="K32" i="45"/>
  <c r="L32" i="45"/>
  <c r="M32" i="45"/>
  <c r="N32" i="45"/>
  <c r="C32" i="45"/>
  <c r="D32" i="39"/>
  <c r="E32" i="39"/>
  <c r="F32" i="39"/>
  <c r="G32" i="39"/>
  <c r="H32" i="39"/>
  <c r="I32" i="39"/>
  <c r="J32" i="39"/>
  <c r="K32" i="39"/>
  <c r="L32" i="39"/>
  <c r="M32" i="39"/>
  <c r="N32" i="39"/>
  <c r="C32" i="39"/>
  <c r="O31" i="47"/>
  <c r="D31" i="47"/>
  <c r="E31" i="47"/>
  <c r="F31" i="47"/>
  <c r="G31" i="47"/>
  <c r="H31" i="47"/>
  <c r="I31" i="47"/>
  <c r="J31" i="47"/>
  <c r="K31" i="47"/>
  <c r="L31" i="47"/>
  <c r="M31" i="47"/>
  <c r="N31" i="47"/>
  <c r="C31" i="47"/>
  <c r="C30" i="48"/>
  <c r="N175" i="66"/>
  <c r="A175" i="66"/>
  <c r="N169" i="66"/>
  <c r="A169" i="66"/>
  <c r="M163" i="66"/>
  <c r="L163" i="66"/>
  <c r="K163" i="66"/>
  <c r="J163" i="66"/>
  <c r="I163" i="66"/>
  <c r="H163" i="66"/>
  <c r="G163" i="66"/>
  <c r="F163" i="66"/>
  <c r="E163" i="66"/>
  <c r="D163" i="66"/>
  <c r="C163" i="66"/>
  <c r="B163" i="66"/>
  <c r="N163" i="66" s="1"/>
  <c r="A161" i="66"/>
  <c r="A160" i="66"/>
  <c r="A159" i="66"/>
  <c r="M152" i="66"/>
  <c r="L152" i="66"/>
  <c r="K152" i="66"/>
  <c r="J152" i="66"/>
  <c r="I152" i="66"/>
  <c r="H152" i="66"/>
  <c r="G152" i="66"/>
  <c r="F152" i="66"/>
  <c r="E152" i="66"/>
  <c r="D152" i="66"/>
  <c r="C152" i="66"/>
  <c r="B152" i="66"/>
  <c r="N152" i="66" s="1"/>
  <c r="A150" i="66"/>
  <c r="A152" i="66" s="1"/>
  <c r="A143" i="66"/>
  <c r="M141" i="66"/>
  <c r="M143" i="66" s="1"/>
  <c r="L141" i="66"/>
  <c r="L143" i="66" s="1"/>
  <c r="K141" i="66"/>
  <c r="K143" i="66" s="1"/>
  <c r="J141" i="66"/>
  <c r="J143" i="66" s="1"/>
  <c r="I141" i="66"/>
  <c r="I143" i="66" s="1"/>
  <c r="H141" i="66"/>
  <c r="H143" i="66" s="1"/>
  <c r="G141" i="66"/>
  <c r="G143" i="66" s="1"/>
  <c r="F141" i="66"/>
  <c r="F143" i="66" s="1"/>
  <c r="E141" i="66"/>
  <c r="E143" i="66" s="1"/>
  <c r="D141" i="66"/>
  <c r="D143" i="66" s="1"/>
  <c r="B141" i="66"/>
  <c r="A133" i="66"/>
  <c r="M131" i="66"/>
  <c r="M133" i="66" s="1"/>
  <c r="L131" i="66"/>
  <c r="L133" i="66" s="1"/>
  <c r="K131" i="66"/>
  <c r="K133" i="66" s="1"/>
  <c r="J131" i="66"/>
  <c r="J133" i="66" s="1"/>
  <c r="I131" i="66"/>
  <c r="I133" i="66" s="1"/>
  <c r="H131" i="66"/>
  <c r="H133" i="66" s="1"/>
  <c r="G131" i="66"/>
  <c r="G133" i="66" s="1"/>
  <c r="F131" i="66"/>
  <c r="F133" i="66" s="1"/>
  <c r="E131" i="66"/>
  <c r="E133" i="66" s="1"/>
  <c r="D131" i="66"/>
  <c r="D133" i="66" s="1"/>
  <c r="C131" i="66"/>
  <c r="C133" i="66" s="1"/>
  <c r="B131" i="66"/>
  <c r="A122" i="66"/>
  <c r="M120" i="66"/>
  <c r="M122" i="66" s="1"/>
  <c r="L120" i="66"/>
  <c r="L122" i="66" s="1"/>
  <c r="K120" i="66"/>
  <c r="K122" i="66" s="1"/>
  <c r="J120" i="66"/>
  <c r="J122" i="66" s="1"/>
  <c r="I120" i="66"/>
  <c r="I122" i="66" s="1"/>
  <c r="H120" i="66"/>
  <c r="H122" i="66" s="1"/>
  <c r="G120" i="66"/>
  <c r="G122" i="66" s="1"/>
  <c r="F120" i="66"/>
  <c r="F122" i="66" s="1"/>
  <c r="E120" i="66"/>
  <c r="E122" i="66" s="1"/>
  <c r="D120" i="66"/>
  <c r="D122" i="66" s="1"/>
  <c r="B120" i="66"/>
  <c r="N120" i="66" s="1"/>
  <c r="A110" i="66"/>
  <c r="A106" i="66"/>
  <c r="A97" i="66"/>
  <c r="M95" i="66"/>
  <c r="M97" i="66" s="1"/>
  <c r="L95" i="66"/>
  <c r="L97" i="66" s="1"/>
  <c r="K95" i="66"/>
  <c r="K97" i="66" s="1"/>
  <c r="J95" i="66"/>
  <c r="J97" i="66" s="1"/>
  <c r="I95" i="66"/>
  <c r="I97" i="66" s="1"/>
  <c r="H95" i="66"/>
  <c r="H97" i="66" s="1"/>
  <c r="G95" i="66"/>
  <c r="G97" i="66" s="1"/>
  <c r="F95" i="66"/>
  <c r="F97" i="66" s="1"/>
  <c r="E95" i="66"/>
  <c r="E97" i="66" s="1"/>
  <c r="D95" i="66"/>
  <c r="D97" i="66" s="1"/>
  <c r="C95" i="66"/>
  <c r="C97" i="66" s="1"/>
  <c r="B95" i="66"/>
  <c r="A85" i="66"/>
  <c r="M83" i="66"/>
  <c r="L83" i="66"/>
  <c r="K83" i="66"/>
  <c r="J83" i="66"/>
  <c r="I83" i="66"/>
  <c r="H83" i="66"/>
  <c r="G83" i="66"/>
  <c r="F83" i="66"/>
  <c r="E83" i="66"/>
  <c r="D83" i="66"/>
  <c r="C83" i="66"/>
  <c r="C85" i="66" s="1"/>
  <c r="D24" i="33" s="1"/>
  <c r="B83" i="66"/>
  <c r="O83" i="66" s="1"/>
  <c r="A73" i="66"/>
  <c r="M71" i="66"/>
  <c r="M73" i="66" s="1"/>
  <c r="L71" i="66"/>
  <c r="L73" i="66" s="1"/>
  <c r="K71" i="66"/>
  <c r="K73" i="66" s="1"/>
  <c r="J71" i="66"/>
  <c r="J73" i="66" s="1"/>
  <c r="I71" i="66"/>
  <c r="I73" i="66" s="1"/>
  <c r="H71" i="66"/>
  <c r="H73" i="66" s="1"/>
  <c r="G71" i="66"/>
  <c r="G73" i="66" s="1"/>
  <c r="F71" i="66"/>
  <c r="F73" i="66" s="1"/>
  <c r="E71" i="66"/>
  <c r="E73" i="66" s="1"/>
  <c r="D71" i="66"/>
  <c r="D73" i="66" s="1"/>
  <c r="B71" i="66"/>
  <c r="A61" i="66"/>
  <c r="M59" i="66"/>
  <c r="M61" i="66" s="1"/>
  <c r="M63" i="66" s="1"/>
  <c r="M64" i="66" s="1"/>
  <c r="L59" i="66"/>
  <c r="L61" i="66" s="1"/>
  <c r="M31" i="39" s="1"/>
  <c r="K59" i="66"/>
  <c r="K61" i="66" s="1"/>
  <c r="K63" i="66" s="1"/>
  <c r="K64" i="66" s="1"/>
  <c r="J59" i="66"/>
  <c r="J61" i="66" s="1"/>
  <c r="J63" i="66" s="1"/>
  <c r="J64" i="66" s="1"/>
  <c r="I59" i="66"/>
  <c r="I61" i="66" s="1"/>
  <c r="H59" i="66"/>
  <c r="H61" i="66" s="1"/>
  <c r="H63" i="66" s="1"/>
  <c r="H64" i="66" s="1"/>
  <c r="G59" i="66"/>
  <c r="G61" i="66" s="1"/>
  <c r="G63" i="66" s="1"/>
  <c r="G64" i="66" s="1"/>
  <c r="F59" i="66"/>
  <c r="F61" i="66" s="1"/>
  <c r="F63" i="66" s="1"/>
  <c r="F64" i="66" s="1"/>
  <c r="E59" i="66"/>
  <c r="E61" i="66" s="1"/>
  <c r="E63" i="66" s="1"/>
  <c r="E64" i="66" s="1"/>
  <c r="D59" i="66"/>
  <c r="D61" i="66" s="1"/>
  <c r="D63" i="66" s="1"/>
  <c r="D64" i="66" s="1"/>
  <c r="C59" i="66"/>
  <c r="C61" i="66" s="1"/>
  <c r="C63" i="66" s="1"/>
  <c r="C64" i="66" s="1"/>
  <c r="B59" i="66"/>
  <c r="A49" i="66"/>
  <c r="M47" i="66"/>
  <c r="M49" i="66" s="1"/>
  <c r="M51" i="66" s="1"/>
  <c r="L47" i="66"/>
  <c r="L49" i="66" s="1"/>
  <c r="L51" i="66" s="1"/>
  <c r="K47" i="66"/>
  <c r="K49" i="66" s="1"/>
  <c r="K51" i="66" s="1"/>
  <c r="J47" i="66"/>
  <c r="J49" i="66" s="1"/>
  <c r="J51" i="66" s="1"/>
  <c r="I47" i="66"/>
  <c r="I49" i="66" s="1"/>
  <c r="I51" i="66" s="1"/>
  <c r="H47" i="66"/>
  <c r="H49" i="66" s="1"/>
  <c r="H51" i="66" s="1"/>
  <c r="G47" i="66"/>
  <c r="G49" i="66" s="1"/>
  <c r="G51" i="66" s="1"/>
  <c r="F47" i="66"/>
  <c r="F49" i="66" s="1"/>
  <c r="F51" i="66" s="1"/>
  <c r="E47" i="66"/>
  <c r="E49" i="66" s="1"/>
  <c r="E51" i="66" s="1"/>
  <c r="D47" i="66"/>
  <c r="D49" i="66" s="1"/>
  <c r="D51" i="66" s="1"/>
  <c r="C47" i="66"/>
  <c r="C49" i="66" s="1"/>
  <c r="C51" i="66" s="1"/>
  <c r="B47" i="66"/>
  <c r="A38" i="66"/>
  <c r="M36" i="66"/>
  <c r="M38" i="66" s="1"/>
  <c r="L36" i="66"/>
  <c r="L38" i="66" s="1"/>
  <c r="K36" i="66"/>
  <c r="K38" i="66" s="1"/>
  <c r="J36" i="66"/>
  <c r="J38" i="66" s="1"/>
  <c r="I36" i="66"/>
  <c r="I38" i="66" s="1"/>
  <c r="H36" i="66"/>
  <c r="H38" i="66" s="1"/>
  <c r="G36" i="66"/>
  <c r="G38" i="66" s="1"/>
  <c r="F36" i="66"/>
  <c r="F38" i="66" s="1"/>
  <c r="E36" i="66"/>
  <c r="E38" i="66" s="1"/>
  <c r="D36" i="66"/>
  <c r="D38" i="66" s="1"/>
  <c r="C36" i="66"/>
  <c r="C38" i="66" s="1"/>
  <c r="B36" i="66"/>
  <c r="O36" i="66" s="1"/>
  <c r="M22" i="66"/>
  <c r="M24" i="66" s="1"/>
  <c r="L22" i="66"/>
  <c r="K22" i="66"/>
  <c r="K24" i="66" s="1"/>
  <c r="J22" i="66"/>
  <c r="K30" i="47" s="1"/>
  <c r="I22" i="66"/>
  <c r="I24" i="66" s="1"/>
  <c r="H22" i="66"/>
  <c r="G22" i="66"/>
  <c r="G24" i="66" s="1"/>
  <c r="F22" i="66"/>
  <c r="G30" i="47" s="1"/>
  <c r="D22" i="66"/>
  <c r="C22" i="66"/>
  <c r="C24" i="66" s="1"/>
  <c r="B22" i="66"/>
  <c r="A13" i="66"/>
  <c r="M10" i="66"/>
  <c r="L10" i="66"/>
  <c r="K10" i="66"/>
  <c r="K13" i="66" s="1"/>
  <c r="L30" i="51" s="1"/>
  <c r="J10" i="66"/>
  <c r="I10" i="66"/>
  <c r="H10" i="66"/>
  <c r="G10" i="66"/>
  <c r="G13" i="66" s="1"/>
  <c r="H30" i="51" s="1"/>
  <c r="F10" i="66"/>
  <c r="E10" i="66"/>
  <c r="E13" i="66" s="1"/>
  <c r="F30" i="51" s="1"/>
  <c r="C10" i="66"/>
  <c r="B10" i="66"/>
  <c r="O47" i="66" l="1"/>
  <c r="O59" i="66"/>
  <c r="N22" i="66"/>
  <c r="O22" i="66"/>
  <c r="O10" i="66"/>
  <c r="G75" i="66"/>
  <c r="G76" i="66" s="1"/>
  <c r="H30" i="36"/>
  <c r="K75" i="66"/>
  <c r="K76" i="66" s="1"/>
  <c r="L30" i="36"/>
  <c r="A163" i="66"/>
  <c r="E75" i="66"/>
  <c r="E76" i="66" s="1"/>
  <c r="F30" i="36"/>
  <c r="M75" i="66"/>
  <c r="M76" i="66" s="1"/>
  <c r="N30" i="36"/>
  <c r="D75" i="66"/>
  <c r="D76" i="66" s="1"/>
  <c r="E30" i="36"/>
  <c r="H75" i="66"/>
  <c r="H76" i="66" s="1"/>
  <c r="I30" i="36"/>
  <c r="L75" i="66"/>
  <c r="L76" i="66" s="1"/>
  <c r="M30" i="36"/>
  <c r="I75" i="66"/>
  <c r="I76" i="66" s="1"/>
  <c r="J30" i="36"/>
  <c r="F75" i="66"/>
  <c r="F76" i="66" s="1"/>
  <c r="G30" i="36"/>
  <c r="J75" i="66"/>
  <c r="J76" i="66" s="1"/>
  <c r="K30" i="36"/>
  <c r="O32" i="45"/>
  <c r="J29" i="48"/>
  <c r="F52" i="66"/>
  <c r="J52" i="66"/>
  <c r="F99" i="66"/>
  <c r="F100" i="66" s="1"/>
  <c r="G24" i="62"/>
  <c r="J99" i="66"/>
  <c r="J100" i="66" s="1"/>
  <c r="K24" i="62"/>
  <c r="H24" i="67"/>
  <c r="L24" i="67"/>
  <c r="C52" i="66"/>
  <c r="G52" i="66"/>
  <c r="K52" i="66"/>
  <c r="C99" i="66"/>
  <c r="C100" i="66" s="1"/>
  <c r="D24" i="62"/>
  <c r="G99" i="66"/>
  <c r="G100" i="66" s="1"/>
  <c r="H24" i="62"/>
  <c r="K99" i="66"/>
  <c r="K100" i="66" s="1"/>
  <c r="L24" i="62"/>
  <c r="E24" i="67"/>
  <c r="I24" i="67"/>
  <c r="M24" i="67"/>
  <c r="D52" i="66"/>
  <c r="H52" i="66"/>
  <c r="L52" i="66"/>
  <c r="D99" i="66"/>
  <c r="D100" i="66" s="1"/>
  <c r="E24" i="62"/>
  <c r="H99" i="66"/>
  <c r="H100" i="66" s="1"/>
  <c r="I24" i="62"/>
  <c r="L99" i="66"/>
  <c r="L100" i="66" s="1"/>
  <c r="M24" i="62"/>
  <c r="F24" i="67"/>
  <c r="J24" i="67"/>
  <c r="N24" i="67"/>
  <c r="E52" i="66"/>
  <c r="I52" i="66"/>
  <c r="M52" i="66"/>
  <c r="E99" i="66"/>
  <c r="E100" i="66" s="1"/>
  <c r="F24" i="62"/>
  <c r="I99" i="66"/>
  <c r="I100" i="66" s="1"/>
  <c r="J24" i="62"/>
  <c r="M99" i="66"/>
  <c r="M100" i="66" s="1"/>
  <c r="N24" i="62"/>
  <c r="G24" i="67"/>
  <c r="K24" i="67"/>
  <c r="F40" i="66"/>
  <c r="F41" i="66" s="1"/>
  <c r="F31" i="45"/>
  <c r="J8" i="45"/>
  <c r="J12" i="45"/>
  <c r="J16" i="45"/>
  <c r="J20" i="45"/>
  <c r="J24" i="45"/>
  <c r="J9" i="45"/>
  <c r="J13" i="45"/>
  <c r="J17" i="45"/>
  <c r="J21" i="45"/>
  <c r="J25" i="45"/>
  <c r="J10" i="45"/>
  <c r="J14" i="45"/>
  <c r="J18" i="45"/>
  <c r="J22" i="45"/>
  <c r="J26" i="45"/>
  <c r="J11" i="45"/>
  <c r="J7" i="45"/>
  <c r="J15" i="45"/>
  <c r="J23" i="45"/>
  <c r="J19" i="45"/>
  <c r="M40" i="66"/>
  <c r="M41" i="66" s="1"/>
  <c r="D31" i="45"/>
  <c r="D33" i="45" s="1"/>
  <c r="H8" i="45"/>
  <c r="H12" i="45"/>
  <c r="H16" i="45"/>
  <c r="H20" i="45"/>
  <c r="H24" i="45"/>
  <c r="H9" i="45"/>
  <c r="H13" i="45"/>
  <c r="H17" i="45"/>
  <c r="H21" i="45"/>
  <c r="H25" i="45"/>
  <c r="H10" i="45"/>
  <c r="H14" i="45"/>
  <c r="H18" i="45"/>
  <c r="H22" i="45"/>
  <c r="H26" i="45"/>
  <c r="H19" i="45"/>
  <c r="H23" i="45"/>
  <c r="H15" i="45"/>
  <c r="H7" i="45"/>
  <c r="H11" i="45"/>
  <c r="L31" i="45"/>
  <c r="L33" i="45" s="1"/>
  <c r="K31" i="45"/>
  <c r="K33" i="45" s="1"/>
  <c r="E31" i="45"/>
  <c r="E33" i="45" s="1"/>
  <c r="I31" i="45"/>
  <c r="I33" i="45" s="1"/>
  <c r="M31" i="45"/>
  <c r="M33" i="45" s="1"/>
  <c r="F33" i="45"/>
  <c r="N30" i="47"/>
  <c r="F31" i="39"/>
  <c r="L40" i="66"/>
  <c r="L41" i="66" s="1"/>
  <c r="N31" i="39"/>
  <c r="J30" i="47"/>
  <c r="N31" i="45"/>
  <c r="H40" i="66"/>
  <c r="N29" i="48"/>
  <c r="D40" i="66"/>
  <c r="D41" i="66" s="1"/>
  <c r="I40" i="66"/>
  <c r="J27" i="44" s="1"/>
  <c r="J31" i="45"/>
  <c r="D24" i="66"/>
  <c r="D26" i="66" s="1"/>
  <c r="E30" i="47"/>
  <c r="E29" i="48"/>
  <c r="H24" i="66"/>
  <c r="H26" i="66" s="1"/>
  <c r="I30" i="47"/>
  <c r="I29" i="48"/>
  <c r="L24" i="66"/>
  <c r="L26" i="66" s="1"/>
  <c r="M30" i="47"/>
  <c r="M29" i="48"/>
  <c r="I63" i="66"/>
  <c r="I64" i="66" s="1"/>
  <c r="J31" i="39"/>
  <c r="L63" i="66"/>
  <c r="L64" i="66" s="1"/>
  <c r="F24" i="66"/>
  <c r="F26" i="66" s="1"/>
  <c r="A34" i="66"/>
  <c r="A45" i="66"/>
  <c r="A69" i="66"/>
  <c r="A118" i="66"/>
  <c r="L29" i="48"/>
  <c r="H29" i="48"/>
  <c r="D29" i="48"/>
  <c r="L30" i="47"/>
  <c r="H30" i="47"/>
  <c r="D30" i="47"/>
  <c r="L31" i="39"/>
  <c r="H31" i="39"/>
  <c r="D31" i="39"/>
  <c r="H31" i="45"/>
  <c r="J40" i="66"/>
  <c r="K27" i="44" s="1"/>
  <c r="F181" i="66"/>
  <c r="J181" i="66"/>
  <c r="J24" i="66"/>
  <c r="C108" i="66"/>
  <c r="A129" i="66"/>
  <c r="C29" i="48"/>
  <c r="K29" i="48"/>
  <c r="G29" i="48"/>
  <c r="C30" i="47"/>
  <c r="K31" i="39"/>
  <c r="G31" i="39"/>
  <c r="G31" i="45"/>
  <c r="E40" i="66"/>
  <c r="F27" i="44" s="1"/>
  <c r="A7" i="66"/>
  <c r="A20" i="66"/>
  <c r="B24" i="66"/>
  <c r="A57" i="66"/>
  <c r="C71" i="66"/>
  <c r="C73" i="66" s="1"/>
  <c r="A93" i="66"/>
  <c r="I31" i="39"/>
  <c r="E31" i="39"/>
  <c r="K40" i="66"/>
  <c r="L27" i="44" s="1"/>
  <c r="G40" i="66"/>
  <c r="H27" i="44" s="1"/>
  <c r="C40" i="66"/>
  <c r="H181" i="66"/>
  <c r="H13" i="66"/>
  <c r="I30" i="51" s="1"/>
  <c r="L181" i="66"/>
  <c r="L13" i="66"/>
  <c r="M30" i="51" s="1"/>
  <c r="I181" i="66"/>
  <c r="I13" i="66"/>
  <c r="J30" i="51" s="1"/>
  <c r="K15" i="66"/>
  <c r="K16" i="66" s="1"/>
  <c r="E15" i="66"/>
  <c r="E16" i="66" s="1"/>
  <c r="C26" i="66"/>
  <c r="C25" i="66"/>
  <c r="G26" i="66"/>
  <c r="G25" i="66"/>
  <c r="K26" i="66"/>
  <c r="K25" i="66"/>
  <c r="I26" i="66"/>
  <c r="I25" i="66"/>
  <c r="M26" i="66"/>
  <c r="M25" i="66"/>
  <c r="M181" i="66"/>
  <c r="J13" i="66"/>
  <c r="K30" i="51" s="1"/>
  <c r="A139" i="66"/>
  <c r="C141" i="66"/>
  <c r="C143" i="66" s="1"/>
  <c r="D10" i="66"/>
  <c r="F13" i="66"/>
  <c r="G30" i="51" s="1"/>
  <c r="E22" i="66"/>
  <c r="N36" i="66"/>
  <c r="B38" i="66"/>
  <c r="O38" i="66" s="1"/>
  <c r="N59" i="66"/>
  <c r="B61" i="66"/>
  <c r="E108" i="66"/>
  <c r="E85" i="66"/>
  <c r="F24" i="33" s="1"/>
  <c r="I108" i="66"/>
  <c r="I85" i="66"/>
  <c r="J24" i="33" s="1"/>
  <c r="M108" i="66"/>
  <c r="M85" i="66"/>
  <c r="N24" i="33" s="1"/>
  <c r="G15" i="66"/>
  <c r="G16" i="66" s="1"/>
  <c r="B133" i="66"/>
  <c r="N133" i="66" s="1"/>
  <c r="N131" i="66"/>
  <c r="B181" i="66"/>
  <c r="N10" i="66"/>
  <c r="K181" i="66"/>
  <c r="B13" i="66"/>
  <c r="M13" i="66"/>
  <c r="N30" i="51" s="1"/>
  <c r="G181" i="66"/>
  <c r="C13" i="66"/>
  <c r="D30" i="51" s="1"/>
  <c r="N47" i="66"/>
  <c r="B49" i="66"/>
  <c r="O49" i="66" s="1"/>
  <c r="B73" i="66"/>
  <c r="N71" i="66"/>
  <c r="C87" i="66"/>
  <c r="C88" i="66" s="1"/>
  <c r="C110" i="66"/>
  <c r="C112" i="66" s="1"/>
  <c r="C113" i="66" s="1"/>
  <c r="G85" i="66"/>
  <c r="G108" i="66"/>
  <c r="K85" i="66"/>
  <c r="L24" i="33" s="1"/>
  <c r="K108" i="66"/>
  <c r="D108" i="66"/>
  <c r="D85" i="66"/>
  <c r="E24" i="33" s="1"/>
  <c r="H108" i="66"/>
  <c r="H85" i="66"/>
  <c r="I24" i="33" s="1"/>
  <c r="L108" i="66"/>
  <c r="L85" i="66"/>
  <c r="M24" i="33" s="1"/>
  <c r="B143" i="66"/>
  <c r="N143" i="66" s="1"/>
  <c r="N141" i="66"/>
  <c r="B85" i="66"/>
  <c r="B108" i="66"/>
  <c r="N108" i="66" s="1"/>
  <c r="N83" i="66"/>
  <c r="F85" i="66"/>
  <c r="G24" i="33" s="1"/>
  <c r="F108" i="66"/>
  <c r="J85" i="66"/>
  <c r="K24" i="33" s="1"/>
  <c r="J108" i="66"/>
  <c r="B122" i="66"/>
  <c r="N122" i="66" s="1"/>
  <c r="C120" i="66"/>
  <c r="C122" i="66" s="1"/>
  <c r="B97" i="66"/>
  <c r="C24" i="62" s="1"/>
  <c r="N95" i="66"/>
  <c r="A81" i="66"/>
  <c r="H13" i="43" l="1"/>
  <c r="H16" i="43"/>
  <c r="J12" i="43"/>
  <c r="C30" i="36"/>
  <c r="O73" i="66"/>
  <c r="O71" i="66"/>
  <c r="G5" i="67"/>
  <c r="G6" i="67"/>
  <c r="G7" i="67"/>
  <c r="G8" i="67"/>
  <c r="G9" i="67"/>
  <c r="G10" i="67"/>
  <c r="G11" i="67"/>
  <c r="G12" i="67"/>
  <c r="G13" i="67"/>
  <c r="G14" i="67"/>
  <c r="G15" i="67"/>
  <c r="G16" i="67"/>
  <c r="G17" i="67"/>
  <c r="G18" i="67"/>
  <c r="G19" i="67"/>
  <c r="G20" i="67"/>
  <c r="G21" i="67"/>
  <c r="G22" i="67"/>
  <c r="G23" i="67"/>
  <c r="G4" i="67"/>
  <c r="M8" i="67"/>
  <c r="M12" i="67"/>
  <c r="M16" i="67"/>
  <c r="M20" i="67"/>
  <c r="M21" i="67"/>
  <c r="M23" i="67"/>
  <c r="M7" i="67"/>
  <c r="M11" i="67"/>
  <c r="M15" i="67"/>
  <c r="M19" i="67"/>
  <c r="M4" i="67"/>
  <c r="M6" i="67"/>
  <c r="M10" i="67"/>
  <c r="M14" i="67"/>
  <c r="M18" i="67"/>
  <c r="M22" i="67"/>
  <c r="M5" i="67"/>
  <c r="M9" i="67"/>
  <c r="M13" i="67"/>
  <c r="M17" i="67"/>
  <c r="H6" i="67"/>
  <c r="H8" i="67"/>
  <c r="H10" i="67"/>
  <c r="H11" i="67"/>
  <c r="H13" i="67"/>
  <c r="H15" i="67"/>
  <c r="H17" i="67"/>
  <c r="H19" i="67"/>
  <c r="H21" i="67"/>
  <c r="H5" i="67"/>
  <c r="H7" i="67"/>
  <c r="H9" i="67"/>
  <c r="H12" i="67"/>
  <c r="H14" i="67"/>
  <c r="H16" i="67"/>
  <c r="H18" i="67"/>
  <c r="H20" i="67"/>
  <c r="H4" i="67"/>
  <c r="H23" i="67"/>
  <c r="H22" i="67"/>
  <c r="I7" i="67"/>
  <c r="I11" i="67"/>
  <c r="I15" i="67"/>
  <c r="I19" i="67"/>
  <c r="I22" i="67"/>
  <c r="I6" i="67"/>
  <c r="I10" i="67"/>
  <c r="I14" i="67"/>
  <c r="I18" i="67"/>
  <c r="I5" i="67"/>
  <c r="I9" i="67"/>
  <c r="I13" i="67"/>
  <c r="I17" i="67"/>
  <c r="I21" i="67"/>
  <c r="I23" i="67"/>
  <c r="I8" i="67"/>
  <c r="I12" i="67"/>
  <c r="I16" i="67"/>
  <c r="I20" i="67"/>
  <c r="I4" i="67"/>
  <c r="J4" i="67"/>
  <c r="J5" i="67"/>
  <c r="J6" i="67"/>
  <c r="J7" i="67"/>
  <c r="J8" i="67"/>
  <c r="J9" i="67"/>
  <c r="J10" i="67"/>
  <c r="J11" i="67"/>
  <c r="J12" i="67"/>
  <c r="J13" i="67"/>
  <c r="J14" i="67"/>
  <c r="J15" i="67"/>
  <c r="J16" i="67"/>
  <c r="J17" i="67"/>
  <c r="J18" i="67"/>
  <c r="J19" i="67"/>
  <c r="J20" i="67"/>
  <c r="J21" i="67"/>
  <c r="J22" i="67"/>
  <c r="J23" i="67"/>
  <c r="E6" i="67"/>
  <c r="E10" i="67"/>
  <c r="E14" i="67"/>
  <c r="E18" i="67"/>
  <c r="E23" i="67"/>
  <c r="E5" i="67"/>
  <c r="E9" i="67"/>
  <c r="E13" i="67"/>
  <c r="E17" i="67"/>
  <c r="E21" i="67"/>
  <c r="E4" i="67"/>
  <c r="E8" i="67"/>
  <c r="E12" i="67"/>
  <c r="E16" i="67"/>
  <c r="E20" i="67"/>
  <c r="E22" i="67"/>
  <c r="E7" i="67"/>
  <c r="E11" i="67"/>
  <c r="E15" i="67"/>
  <c r="E19" i="67"/>
  <c r="N4" i="67"/>
  <c r="N5" i="67"/>
  <c r="N6" i="67"/>
  <c r="N7" i="67"/>
  <c r="N8" i="67"/>
  <c r="N9" i="67"/>
  <c r="N10" i="67"/>
  <c r="N11" i="67"/>
  <c r="N12" i="67"/>
  <c r="N13" i="67"/>
  <c r="N14" i="67"/>
  <c r="N15" i="67"/>
  <c r="N16" i="67"/>
  <c r="N17" i="67"/>
  <c r="N18" i="67"/>
  <c r="N19" i="67"/>
  <c r="N20" i="67"/>
  <c r="N21" i="67"/>
  <c r="N22" i="67"/>
  <c r="N23" i="67"/>
  <c r="K5" i="67"/>
  <c r="K6" i="67"/>
  <c r="K7" i="67"/>
  <c r="K8" i="67"/>
  <c r="K9" i="67"/>
  <c r="K10" i="67"/>
  <c r="K11" i="67"/>
  <c r="K12" i="67"/>
  <c r="K13" i="67"/>
  <c r="K14" i="67"/>
  <c r="K15" i="67"/>
  <c r="K16" i="67"/>
  <c r="K17" i="67"/>
  <c r="K18" i="67"/>
  <c r="K19" i="67"/>
  <c r="K20" i="67"/>
  <c r="K21" i="67"/>
  <c r="K22" i="67"/>
  <c r="K23" i="67"/>
  <c r="K4" i="67"/>
  <c r="F4" i="67"/>
  <c r="F5" i="67"/>
  <c r="F6" i="67"/>
  <c r="F7" i="67"/>
  <c r="F8" i="67"/>
  <c r="F9" i="67"/>
  <c r="F10" i="67"/>
  <c r="F11" i="67"/>
  <c r="F12" i="67"/>
  <c r="F13" i="67"/>
  <c r="F14" i="67"/>
  <c r="F15" i="67"/>
  <c r="F16" i="67"/>
  <c r="F17" i="67"/>
  <c r="F18" i="67"/>
  <c r="F19" i="67"/>
  <c r="F20" i="67"/>
  <c r="F21" i="67"/>
  <c r="F22" i="67"/>
  <c r="F23" i="67"/>
  <c r="L5" i="67"/>
  <c r="L7" i="67"/>
  <c r="L9" i="67"/>
  <c r="L12" i="67"/>
  <c r="L14" i="67"/>
  <c r="L16" i="67"/>
  <c r="L18" i="67"/>
  <c r="L20" i="67"/>
  <c r="L6" i="67"/>
  <c r="L8" i="67"/>
  <c r="L10" i="67"/>
  <c r="L11" i="67"/>
  <c r="L13" i="67"/>
  <c r="L15" i="67"/>
  <c r="L17" i="67"/>
  <c r="L19" i="67"/>
  <c r="L22" i="67"/>
  <c r="L4" i="67"/>
  <c r="L21" i="67"/>
  <c r="L23" i="67"/>
  <c r="C24" i="33"/>
  <c r="O85" i="66"/>
  <c r="C31" i="39"/>
  <c r="O31" i="39" s="1"/>
  <c r="O61" i="66"/>
  <c r="C30" i="51"/>
  <c r="O13" i="66"/>
  <c r="C75" i="66"/>
  <c r="C76" i="66" s="1"/>
  <c r="D30" i="36"/>
  <c r="H25" i="66"/>
  <c r="H27" i="66" s="1"/>
  <c r="M27" i="66"/>
  <c r="C24" i="67"/>
  <c r="J30" i="41"/>
  <c r="J30" i="42"/>
  <c r="M30" i="41"/>
  <c r="M30" i="42"/>
  <c r="E30" i="41"/>
  <c r="E30" i="42"/>
  <c r="H30" i="41"/>
  <c r="H30" i="42"/>
  <c r="K30" i="41"/>
  <c r="K30" i="42"/>
  <c r="D24" i="67"/>
  <c r="G183" i="66"/>
  <c r="H24" i="33"/>
  <c r="N30" i="41"/>
  <c r="N30" i="42"/>
  <c r="F30" i="41"/>
  <c r="F30" i="42"/>
  <c r="I30" i="41"/>
  <c r="I30" i="42"/>
  <c r="L30" i="41"/>
  <c r="L30" i="42"/>
  <c r="D30" i="41"/>
  <c r="D30" i="42"/>
  <c r="G30" i="41"/>
  <c r="G30" i="42"/>
  <c r="L11" i="44"/>
  <c r="L15" i="44"/>
  <c r="L19" i="44"/>
  <c r="L23" i="44"/>
  <c r="L7" i="44"/>
  <c r="L8" i="44"/>
  <c r="L12" i="44"/>
  <c r="L16" i="44"/>
  <c r="L20" i="44"/>
  <c r="L24" i="44"/>
  <c r="L14" i="44"/>
  <c r="L22" i="44"/>
  <c r="L10" i="44"/>
  <c r="L18" i="44"/>
  <c r="L26" i="44"/>
  <c r="L13" i="44"/>
  <c r="L21" i="44"/>
  <c r="L9" i="44"/>
  <c r="L17" i="44"/>
  <c r="L25" i="44"/>
  <c r="K8" i="45"/>
  <c r="K12" i="45"/>
  <c r="K16" i="45"/>
  <c r="K20" i="45"/>
  <c r="K24" i="45"/>
  <c r="K9" i="45"/>
  <c r="K13" i="45"/>
  <c r="K17" i="45"/>
  <c r="K21" i="45"/>
  <c r="K25" i="45"/>
  <c r="K10" i="45"/>
  <c r="K14" i="45"/>
  <c r="K18" i="45"/>
  <c r="K22" i="45"/>
  <c r="K26" i="45"/>
  <c r="K15" i="45"/>
  <c r="K19" i="45"/>
  <c r="K11" i="45"/>
  <c r="K7" i="45"/>
  <c r="K23" i="45"/>
  <c r="F11" i="44"/>
  <c r="F15" i="44"/>
  <c r="F19" i="44"/>
  <c r="F8" i="44"/>
  <c r="F13" i="44"/>
  <c r="F18" i="44"/>
  <c r="F23" i="44"/>
  <c r="F7" i="44"/>
  <c r="F10" i="44"/>
  <c r="F16" i="44"/>
  <c r="F21" i="44"/>
  <c r="F25" i="44"/>
  <c r="F17" i="44"/>
  <c r="F26" i="44"/>
  <c r="F9" i="44"/>
  <c r="F20" i="44"/>
  <c r="F12" i="44"/>
  <c r="F22" i="44"/>
  <c r="F14" i="44"/>
  <c r="F24" i="44"/>
  <c r="J11" i="44"/>
  <c r="J8" i="43" s="1"/>
  <c r="J15" i="44"/>
  <c r="J13" i="59" s="1"/>
  <c r="J19" i="44"/>
  <c r="J17" i="59" s="1"/>
  <c r="J23" i="44"/>
  <c r="J21" i="59" s="1"/>
  <c r="J7" i="44"/>
  <c r="J5" i="59" s="1"/>
  <c r="J8" i="44"/>
  <c r="J6" i="59" s="1"/>
  <c r="J12" i="44"/>
  <c r="J10" i="59" s="1"/>
  <c r="J16" i="44"/>
  <c r="J14" i="59" s="1"/>
  <c r="J20" i="44"/>
  <c r="J18" i="59" s="1"/>
  <c r="J24" i="44"/>
  <c r="J22" i="59" s="1"/>
  <c r="J14" i="44"/>
  <c r="J12" i="59" s="1"/>
  <c r="J22" i="44"/>
  <c r="J20" i="59" s="1"/>
  <c r="J10" i="44"/>
  <c r="J8" i="59" s="1"/>
  <c r="J18" i="44"/>
  <c r="J16" i="59" s="1"/>
  <c r="J26" i="44"/>
  <c r="J24" i="59" s="1"/>
  <c r="J13" i="44"/>
  <c r="J11" i="59" s="1"/>
  <c r="J21" i="44"/>
  <c r="J19" i="59" s="1"/>
  <c r="J25" i="44"/>
  <c r="J23" i="59" s="1"/>
  <c r="J9" i="44"/>
  <c r="J7" i="59" s="1"/>
  <c r="J17" i="44"/>
  <c r="J15" i="59" s="1"/>
  <c r="M32" i="44"/>
  <c r="M27" i="44"/>
  <c r="C31" i="45"/>
  <c r="C33" i="45" s="1"/>
  <c r="K11" i="44"/>
  <c r="K15" i="44"/>
  <c r="K19" i="44"/>
  <c r="K23" i="44"/>
  <c r="K7" i="44"/>
  <c r="K8" i="44"/>
  <c r="K12" i="44"/>
  <c r="K16" i="44"/>
  <c r="K20" i="44"/>
  <c r="K24" i="44"/>
  <c r="K10" i="44"/>
  <c r="K18" i="44"/>
  <c r="K26" i="44"/>
  <c r="K14" i="44"/>
  <c r="K22" i="44"/>
  <c r="K9" i="44"/>
  <c r="K17" i="44"/>
  <c r="K25" i="44"/>
  <c r="K23" i="59" s="1"/>
  <c r="K13" i="44"/>
  <c r="K21" i="44"/>
  <c r="I8" i="45"/>
  <c r="I12" i="45"/>
  <c r="I16" i="45"/>
  <c r="I20" i="45"/>
  <c r="I24" i="45"/>
  <c r="I9" i="45"/>
  <c r="I13" i="45"/>
  <c r="I17" i="45"/>
  <c r="I21" i="45"/>
  <c r="I25" i="45"/>
  <c r="I10" i="45"/>
  <c r="I14" i="45"/>
  <c r="I18" i="45"/>
  <c r="I22" i="45"/>
  <c r="I26" i="45"/>
  <c r="I23" i="45"/>
  <c r="I11" i="45"/>
  <c r="I7" i="45"/>
  <c r="I19" i="45"/>
  <c r="I15" i="45"/>
  <c r="D8" i="45"/>
  <c r="D12" i="45"/>
  <c r="D16" i="45"/>
  <c r="D20" i="45"/>
  <c r="D24" i="45"/>
  <c r="D9" i="45"/>
  <c r="D13" i="45"/>
  <c r="D17" i="45"/>
  <c r="D21" i="45"/>
  <c r="D25" i="45"/>
  <c r="D10" i="45"/>
  <c r="D14" i="45"/>
  <c r="D18" i="45"/>
  <c r="D22" i="45"/>
  <c r="D26" i="45"/>
  <c r="D19" i="45"/>
  <c r="D23" i="45"/>
  <c r="D15" i="45"/>
  <c r="D11" i="45"/>
  <c r="D7" i="45"/>
  <c r="F8" i="45"/>
  <c r="F5" i="43" s="1"/>
  <c r="F12" i="45"/>
  <c r="F16" i="45"/>
  <c r="F13" i="43" s="1"/>
  <c r="F20" i="45"/>
  <c r="F24" i="45"/>
  <c r="F21" i="43" s="1"/>
  <c r="F9" i="45"/>
  <c r="F13" i="45"/>
  <c r="F17" i="45"/>
  <c r="F21" i="45"/>
  <c r="F18" i="43" s="1"/>
  <c r="F25" i="45"/>
  <c r="F10" i="45"/>
  <c r="F14" i="45"/>
  <c r="F11" i="43" s="1"/>
  <c r="F18" i="45"/>
  <c r="F15" i="43" s="1"/>
  <c r="F22" i="45"/>
  <c r="F26" i="45"/>
  <c r="F23" i="43" s="1"/>
  <c r="F11" i="45"/>
  <c r="F7" i="45"/>
  <c r="F4" i="43" s="1"/>
  <c r="F15" i="45"/>
  <c r="F23" i="45"/>
  <c r="F19" i="45"/>
  <c r="F16" i="43" s="1"/>
  <c r="D32" i="44"/>
  <c r="D27" i="44"/>
  <c r="E32" i="44"/>
  <c r="E27" i="44"/>
  <c r="M8" i="45"/>
  <c r="M12" i="45"/>
  <c r="M16" i="45"/>
  <c r="M20" i="45"/>
  <c r="M24" i="45"/>
  <c r="M9" i="45"/>
  <c r="M13" i="45"/>
  <c r="M17" i="45"/>
  <c r="M21" i="45"/>
  <c r="M25" i="45"/>
  <c r="M10" i="45"/>
  <c r="M14" i="45"/>
  <c r="M18" i="45"/>
  <c r="M22" i="45"/>
  <c r="M26" i="45"/>
  <c r="M23" i="45"/>
  <c r="M11" i="45"/>
  <c r="M7" i="45"/>
  <c r="M19" i="45"/>
  <c r="M15" i="45"/>
  <c r="E8" i="45"/>
  <c r="E12" i="45"/>
  <c r="E16" i="45"/>
  <c r="E20" i="45"/>
  <c r="E24" i="45"/>
  <c r="E9" i="45"/>
  <c r="E13" i="45"/>
  <c r="E17" i="45"/>
  <c r="E21" i="45"/>
  <c r="E25" i="45"/>
  <c r="E10" i="45"/>
  <c r="E14" i="45"/>
  <c r="E18" i="45"/>
  <c r="E22" i="45"/>
  <c r="E26" i="45"/>
  <c r="E23" i="45"/>
  <c r="E11" i="45"/>
  <c r="E7" i="45"/>
  <c r="E19" i="45"/>
  <c r="E15" i="45"/>
  <c r="L8" i="45"/>
  <c r="L5" i="43" s="1"/>
  <c r="L12" i="45"/>
  <c r="L16" i="45"/>
  <c r="L20" i="45"/>
  <c r="L24" i="45"/>
  <c r="L21" i="43" s="1"/>
  <c r="L9" i="45"/>
  <c r="L13" i="45"/>
  <c r="L17" i="45"/>
  <c r="L14" i="43" s="1"/>
  <c r="L21" i="45"/>
  <c r="L18" i="43" s="1"/>
  <c r="L25" i="45"/>
  <c r="L10" i="45"/>
  <c r="L14" i="45"/>
  <c r="L11" i="43" s="1"/>
  <c r="L18" i="45"/>
  <c r="L22" i="45"/>
  <c r="L26" i="45"/>
  <c r="L19" i="45"/>
  <c r="L16" i="43" s="1"/>
  <c r="L23" i="45"/>
  <c r="L20" i="43" s="1"/>
  <c r="L15" i="45"/>
  <c r="L11" i="45"/>
  <c r="L7" i="45"/>
  <c r="N8" i="45"/>
  <c r="N12" i="45"/>
  <c r="N16" i="45"/>
  <c r="N20" i="45"/>
  <c r="N24" i="45"/>
  <c r="N9" i="45"/>
  <c r="N13" i="45"/>
  <c r="N17" i="45"/>
  <c r="N21" i="45"/>
  <c r="N25" i="45"/>
  <c r="N10" i="45"/>
  <c r="N14" i="45"/>
  <c r="N18" i="45"/>
  <c r="N22" i="45"/>
  <c r="N26" i="45"/>
  <c r="N11" i="45"/>
  <c r="N7" i="45"/>
  <c r="N15" i="45"/>
  <c r="N23" i="45"/>
  <c r="N19" i="45"/>
  <c r="G8" i="45"/>
  <c r="G12" i="45"/>
  <c r="G16" i="45"/>
  <c r="G20" i="45"/>
  <c r="G24" i="45"/>
  <c r="G9" i="45"/>
  <c r="G13" i="45"/>
  <c r="G17" i="45"/>
  <c r="G21" i="45"/>
  <c r="G25" i="45"/>
  <c r="G10" i="45"/>
  <c r="G14" i="45"/>
  <c r="G18" i="45"/>
  <c r="G22" i="45"/>
  <c r="G26" i="45"/>
  <c r="G15" i="45"/>
  <c r="G19" i="45"/>
  <c r="G11" i="45"/>
  <c r="G7" i="45"/>
  <c r="G23" i="45"/>
  <c r="H11" i="44"/>
  <c r="H9" i="59" s="1"/>
  <c r="H15" i="44"/>
  <c r="H13" i="59" s="1"/>
  <c r="H19" i="44"/>
  <c r="H17" i="59" s="1"/>
  <c r="H23" i="44"/>
  <c r="H21" i="59" s="1"/>
  <c r="H8" i="44"/>
  <c r="H6" i="59" s="1"/>
  <c r="H12" i="44"/>
  <c r="H10" i="59" s="1"/>
  <c r="H16" i="44"/>
  <c r="H14" i="59" s="1"/>
  <c r="H20" i="44"/>
  <c r="H18" i="59" s="1"/>
  <c r="H24" i="44"/>
  <c r="H22" i="59" s="1"/>
  <c r="H14" i="44"/>
  <c r="H12" i="59" s="1"/>
  <c r="H22" i="44"/>
  <c r="H20" i="59" s="1"/>
  <c r="H7" i="44"/>
  <c r="H5" i="59" s="1"/>
  <c r="H10" i="44"/>
  <c r="H8" i="59" s="1"/>
  <c r="H18" i="44"/>
  <c r="H16" i="59" s="1"/>
  <c r="H26" i="44"/>
  <c r="H24" i="59" s="1"/>
  <c r="H13" i="44"/>
  <c r="H11" i="59" s="1"/>
  <c r="H17" i="44"/>
  <c r="H15" i="59" s="1"/>
  <c r="H21" i="44"/>
  <c r="H19" i="59" s="1"/>
  <c r="H9" i="44"/>
  <c r="H7" i="59" s="1"/>
  <c r="H25" i="44"/>
  <c r="H23" i="59" s="1"/>
  <c r="C41" i="66"/>
  <c r="I32" i="44"/>
  <c r="I27" i="44"/>
  <c r="N32" i="44"/>
  <c r="N27" i="44"/>
  <c r="G32" i="44"/>
  <c r="G27" i="44"/>
  <c r="G41" i="66"/>
  <c r="H32" i="44"/>
  <c r="H41" i="66"/>
  <c r="K27" i="66"/>
  <c r="C27" i="66"/>
  <c r="D25" i="66"/>
  <c r="D27" i="66" s="1"/>
  <c r="G33" i="45"/>
  <c r="J41" i="66"/>
  <c r="K32" i="44"/>
  <c r="J33" i="45"/>
  <c r="N33" i="45"/>
  <c r="K41" i="66"/>
  <c r="L32" i="44"/>
  <c r="F25" i="66"/>
  <c r="F27" i="66" s="1"/>
  <c r="E41" i="66"/>
  <c r="F32" i="44"/>
  <c r="H33" i="45"/>
  <c r="I41" i="66"/>
  <c r="J32" i="44"/>
  <c r="E24" i="66"/>
  <c r="E26" i="66" s="1"/>
  <c r="F30" i="47"/>
  <c r="O30" i="47" s="1"/>
  <c r="F29" i="48"/>
  <c r="O29" i="48" s="1"/>
  <c r="E181" i="66"/>
  <c r="L25" i="66"/>
  <c r="L27" i="66" s="1"/>
  <c r="B26" i="66"/>
  <c r="B25" i="66"/>
  <c r="J26" i="66"/>
  <c r="J25" i="66"/>
  <c r="J110" i="66"/>
  <c r="J112" i="66" s="1"/>
  <c r="J113" i="66" s="1"/>
  <c r="J87" i="66"/>
  <c r="J88" i="66" s="1"/>
  <c r="E87" i="66"/>
  <c r="E88" i="66" s="1"/>
  <c r="E110" i="66"/>
  <c r="E112" i="66" s="1"/>
  <c r="E113" i="66" s="1"/>
  <c r="I183" i="66"/>
  <c r="I15" i="66"/>
  <c r="I16" i="66" s="1"/>
  <c r="F110" i="66"/>
  <c r="F112" i="66" s="1"/>
  <c r="F113" i="66" s="1"/>
  <c r="F87" i="66"/>
  <c r="F88" i="66" s="1"/>
  <c r="H110" i="66"/>
  <c r="H112" i="66" s="1"/>
  <c r="H113" i="66" s="1"/>
  <c r="H87" i="66"/>
  <c r="H88" i="66" s="1"/>
  <c r="N49" i="66"/>
  <c r="B51" i="66"/>
  <c r="M183" i="66"/>
  <c r="M15" i="66"/>
  <c r="M16" i="66" s="1"/>
  <c r="I87" i="66"/>
  <c r="I88" i="66" s="1"/>
  <c r="I110" i="66"/>
  <c r="I112" i="66" s="1"/>
  <c r="I113" i="66" s="1"/>
  <c r="N61" i="66"/>
  <c r="B63" i="66"/>
  <c r="B64" i="66" s="1"/>
  <c r="C181" i="66"/>
  <c r="I27" i="66"/>
  <c r="G27" i="66"/>
  <c r="L183" i="66"/>
  <c r="L15" i="66"/>
  <c r="L16" i="66" s="1"/>
  <c r="D181" i="66"/>
  <c r="D13" i="66"/>
  <c r="E30" i="51" s="1"/>
  <c r="N97" i="66"/>
  <c r="B99" i="66"/>
  <c r="B100" i="66" s="1"/>
  <c r="K87" i="66"/>
  <c r="K88" i="66" s="1"/>
  <c r="K110" i="66"/>
  <c r="K112" i="66" s="1"/>
  <c r="K113" i="66" s="1"/>
  <c r="B183" i="66"/>
  <c r="N13" i="66"/>
  <c r="B15" i="66"/>
  <c r="B16" i="66" s="1"/>
  <c r="F183" i="66"/>
  <c r="F15" i="66"/>
  <c r="F16" i="66" s="1"/>
  <c r="E183" i="66"/>
  <c r="K183" i="66"/>
  <c r="L110" i="66"/>
  <c r="L112" i="66" s="1"/>
  <c r="L113" i="66" s="1"/>
  <c r="L87" i="66"/>
  <c r="L88" i="66" s="1"/>
  <c r="D110" i="66"/>
  <c r="D112" i="66" s="1"/>
  <c r="D113" i="66" s="1"/>
  <c r="D87" i="66"/>
  <c r="D88" i="66" s="1"/>
  <c r="C183" i="66"/>
  <c r="C15" i="66"/>
  <c r="C16" i="66" s="1"/>
  <c r="M87" i="66"/>
  <c r="M88" i="66" s="1"/>
  <c r="M110" i="66"/>
  <c r="M112" i="66" s="1"/>
  <c r="M113" i="66" s="1"/>
  <c r="N38" i="66"/>
  <c r="B40" i="66"/>
  <c r="C27" i="44" s="1"/>
  <c r="J183" i="66"/>
  <c r="J15" i="66"/>
  <c r="J16" i="66" s="1"/>
  <c r="H183" i="66"/>
  <c r="H15" i="66"/>
  <c r="H16" i="66" s="1"/>
  <c r="B110" i="66"/>
  <c r="N85" i="66"/>
  <c r="B87" i="66"/>
  <c r="B88" i="66" s="1"/>
  <c r="G87" i="66"/>
  <c r="G88" i="66" s="1"/>
  <c r="G110" i="66"/>
  <c r="G112" i="66" s="1"/>
  <c r="G113" i="66" s="1"/>
  <c r="N73" i="66"/>
  <c r="B75" i="66"/>
  <c r="B76" i="66" s="1"/>
  <c r="N177" i="66"/>
  <c r="J23" i="43" l="1"/>
  <c r="H9" i="43"/>
  <c r="F17" i="43"/>
  <c r="J14" i="43"/>
  <c r="L23" i="43"/>
  <c r="L10" i="43"/>
  <c r="L13" i="43"/>
  <c r="F20" i="43"/>
  <c r="L12" i="43"/>
  <c r="L19" i="43"/>
  <c r="L22" i="43"/>
  <c r="L6" i="43"/>
  <c r="L9" i="43"/>
  <c r="F12" i="43"/>
  <c r="F19" i="43"/>
  <c r="F22" i="43"/>
  <c r="K16" i="43"/>
  <c r="K15" i="43"/>
  <c r="K18" i="43"/>
  <c r="J9" i="43"/>
  <c r="H18" i="43"/>
  <c r="H12" i="43"/>
  <c r="N21" i="43"/>
  <c r="L4" i="43"/>
  <c r="L17" i="43"/>
  <c r="J9" i="59"/>
  <c r="K20" i="43"/>
  <c r="K12" i="43"/>
  <c r="K11" i="43"/>
  <c r="K14" i="43"/>
  <c r="K17" i="43"/>
  <c r="J6" i="43"/>
  <c r="H17" i="43"/>
  <c r="H8" i="43"/>
  <c r="J13" i="43"/>
  <c r="J20" i="43"/>
  <c r="H15" i="43"/>
  <c r="H23" i="43"/>
  <c r="J11" i="43"/>
  <c r="H6" i="43"/>
  <c r="J18" i="43"/>
  <c r="E8" i="43"/>
  <c r="D9" i="43"/>
  <c r="K21" i="43"/>
  <c r="H7" i="43"/>
  <c r="L8" i="43"/>
  <c r="L7" i="43"/>
  <c r="F7" i="43"/>
  <c r="F10" i="43"/>
  <c r="K4" i="43"/>
  <c r="K23" i="43"/>
  <c r="K7" i="43"/>
  <c r="K10" i="43"/>
  <c r="K13" i="43"/>
  <c r="J22" i="43"/>
  <c r="H14" i="43"/>
  <c r="J21" i="43"/>
  <c r="J10" i="43"/>
  <c r="H5" i="43"/>
  <c r="H20" i="43"/>
  <c r="H4" i="43"/>
  <c r="H22" i="43"/>
  <c r="J15" i="43"/>
  <c r="K5" i="43"/>
  <c r="F9" i="43"/>
  <c r="I16" i="43"/>
  <c r="K8" i="43"/>
  <c r="K19" i="43"/>
  <c r="K22" i="43"/>
  <c r="K6" i="43"/>
  <c r="K9" i="43"/>
  <c r="J19" i="43"/>
  <c r="H11" i="43"/>
  <c r="J4" i="43"/>
  <c r="J7" i="43"/>
  <c r="H21" i="43"/>
  <c r="J5" i="43"/>
  <c r="J17" i="43"/>
  <c r="J16" i="43"/>
  <c r="H19" i="43"/>
  <c r="H10" i="43"/>
  <c r="F9" i="59"/>
  <c r="F8" i="43"/>
  <c r="F15" i="59"/>
  <c r="F14" i="43"/>
  <c r="F7" i="59"/>
  <c r="F6" i="43"/>
  <c r="L16" i="59"/>
  <c r="L15" i="43"/>
  <c r="C5" i="67"/>
  <c r="C6" i="67"/>
  <c r="C7" i="67"/>
  <c r="C8" i="67"/>
  <c r="C9" i="67"/>
  <c r="C10" i="67"/>
  <c r="C11" i="67"/>
  <c r="C12" i="67"/>
  <c r="C13" i="67"/>
  <c r="C14" i="67"/>
  <c r="C15" i="67"/>
  <c r="C16" i="67"/>
  <c r="C17" i="67"/>
  <c r="C18" i="67"/>
  <c r="C19" i="67"/>
  <c r="C20" i="67"/>
  <c r="C21" i="67"/>
  <c r="C22" i="67"/>
  <c r="C23" i="67"/>
  <c r="C4" i="67"/>
  <c r="D5" i="67"/>
  <c r="D7" i="67"/>
  <c r="D9" i="67"/>
  <c r="D12" i="67"/>
  <c r="D14" i="67"/>
  <c r="D16" i="67"/>
  <c r="D18" i="67"/>
  <c r="D20" i="67"/>
  <c r="D6" i="67"/>
  <c r="D8" i="67"/>
  <c r="D10" i="67"/>
  <c r="D11" i="67"/>
  <c r="D13" i="67"/>
  <c r="D15" i="67"/>
  <c r="D17" i="67"/>
  <c r="D19" i="67"/>
  <c r="D21" i="67"/>
  <c r="D22" i="67"/>
  <c r="D4" i="67"/>
  <c r="D23" i="67"/>
  <c r="L24" i="59"/>
  <c r="K14" i="59"/>
  <c r="K5" i="59"/>
  <c r="K15" i="59"/>
  <c r="K18" i="59"/>
  <c r="L23" i="59"/>
  <c r="F13" i="59"/>
  <c r="K10" i="59"/>
  <c r="K9" i="59"/>
  <c r="K7" i="59"/>
  <c r="K22" i="59"/>
  <c r="L8" i="59"/>
  <c r="F11" i="59"/>
  <c r="K19" i="59"/>
  <c r="K16" i="59"/>
  <c r="F12" i="59"/>
  <c r="F19" i="59"/>
  <c r="F21" i="59"/>
  <c r="K8" i="59"/>
  <c r="L15" i="59"/>
  <c r="L17" i="59"/>
  <c r="F24" i="59"/>
  <c r="F14" i="59"/>
  <c r="B52" i="66"/>
  <c r="O24" i="68"/>
  <c r="F18" i="59"/>
  <c r="K12" i="59"/>
  <c r="L14" i="59"/>
  <c r="L21" i="59"/>
  <c r="O24" i="67"/>
  <c r="I11" i="44"/>
  <c r="I9" i="59" s="1"/>
  <c r="I15" i="44"/>
  <c r="I13" i="59" s="1"/>
  <c r="I19" i="44"/>
  <c r="I17" i="59" s="1"/>
  <c r="I23" i="44"/>
  <c r="I21" i="59" s="1"/>
  <c r="I7" i="44"/>
  <c r="I5" i="59" s="1"/>
  <c r="I8" i="44"/>
  <c r="I6" i="59" s="1"/>
  <c r="I12" i="44"/>
  <c r="I10" i="59" s="1"/>
  <c r="I16" i="44"/>
  <c r="I14" i="59" s="1"/>
  <c r="I20" i="44"/>
  <c r="I18" i="59" s="1"/>
  <c r="I24" i="44"/>
  <c r="I22" i="59" s="1"/>
  <c r="I10" i="44"/>
  <c r="I8" i="59" s="1"/>
  <c r="I18" i="44"/>
  <c r="I16" i="59" s="1"/>
  <c r="I26" i="44"/>
  <c r="I24" i="59" s="1"/>
  <c r="I14" i="44"/>
  <c r="I12" i="59" s="1"/>
  <c r="I22" i="44"/>
  <c r="I20" i="59" s="1"/>
  <c r="I17" i="44"/>
  <c r="I15" i="59" s="1"/>
  <c r="I21" i="44"/>
  <c r="I19" i="59" s="1"/>
  <c r="I9" i="44"/>
  <c r="I7" i="59" s="1"/>
  <c r="I25" i="44"/>
  <c r="I23" i="59" s="1"/>
  <c r="I13" i="44"/>
  <c r="I11" i="59" s="1"/>
  <c r="K21" i="59"/>
  <c r="C9" i="45"/>
  <c r="C13" i="45"/>
  <c r="C17" i="45"/>
  <c r="C21" i="45"/>
  <c r="C25" i="45"/>
  <c r="C10" i="45"/>
  <c r="C14" i="45"/>
  <c r="C18" i="45"/>
  <c r="C22" i="45"/>
  <c r="C26" i="45"/>
  <c r="C11" i="45"/>
  <c r="C15" i="45"/>
  <c r="C19" i="45"/>
  <c r="C23" i="45"/>
  <c r="C7" i="45"/>
  <c r="C20" i="45"/>
  <c r="C8" i="45"/>
  <c r="C24" i="45"/>
  <c r="C16" i="45"/>
  <c r="C12" i="45"/>
  <c r="M11" i="44"/>
  <c r="M9" i="59" s="1"/>
  <c r="M15" i="44"/>
  <c r="M13" i="59" s="1"/>
  <c r="M19" i="44"/>
  <c r="M17" i="59" s="1"/>
  <c r="M23" i="44"/>
  <c r="M21" i="59" s="1"/>
  <c r="M7" i="44"/>
  <c r="M5" i="59" s="1"/>
  <c r="M8" i="44"/>
  <c r="M6" i="59" s="1"/>
  <c r="M12" i="44"/>
  <c r="M10" i="59" s="1"/>
  <c r="M16" i="44"/>
  <c r="M14" i="59" s="1"/>
  <c r="M20" i="44"/>
  <c r="M18" i="59" s="1"/>
  <c r="M24" i="44"/>
  <c r="M22" i="59" s="1"/>
  <c r="M10" i="44"/>
  <c r="M8" i="59" s="1"/>
  <c r="M18" i="44"/>
  <c r="M16" i="59" s="1"/>
  <c r="M26" i="44"/>
  <c r="M24" i="59" s="1"/>
  <c r="M14" i="44"/>
  <c r="M12" i="59" s="1"/>
  <c r="M22" i="44"/>
  <c r="M20" i="59" s="1"/>
  <c r="M9" i="44"/>
  <c r="M7" i="59" s="1"/>
  <c r="M17" i="44"/>
  <c r="M15" i="59" s="1"/>
  <c r="M25" i="44"/>
  <c r="M23" i="59" s="1"/>
  <c r="M21" i="44"/>
  <c r="M19" i="59" s="1"/>
  <c r="M13" i="44"/>
  <c r="M11" i="59" s="1"/>
  <c r="F20" i="59"/>
  <c r="F16" i="59"/>
  <c r="K24" i="59"/>
  <c r="L10" i="59"/>
  <c r="C9" i="44"/>
  <c r="C13" i="44"/>
  <c r="C11" i="59" s="1"/>
  <c r="C17" i="44"/>
  <c r="C15" i="59" s="1"/>
  <c r="C21" i="44"/>
  <c r="C25" i="44"/>
  <c r="C10" i="44"/>
  <c r="C15" i="44"/>
  <c r="C20" i="44"/>
  <c r="C26" i="44"/>
  <c r="C24" i="44"/>
  <c r="C22" i="59" s="1"/>
  <c r="C11" i="44"/>
  <c r="C9" i="59" s="1"/>
  <c r="C16" i="44"/>
  <c r="C22" i="44"/>
  <c r="C7" i="44"/>
  <c r="C14" i="44"/>
  <c r="C12" i="44"/>
  <c r="C18" i="44"/>
  <c r="C23" i="44"/>
  <c r="C21" i="59" s="1"/>
  <c r="C8" i="44"/>
  <c r="C19" i="44"/>
  <c r="N11" i="44"/>
  <c r="N9" i="59" s="1"/>
  <c r="N15" i="44"/>
  <c r="N13" i="59" s="1"/>
  <c r="N19" i="44"/>
  <c r="N17" i="59" s="1"/>
  <c r="N23" i="44"/>
  <c r="N21" i="59" s="1"/>
  <c r="N7" i="44"/>
  <c r="N5" i="59" s="1"/>
  <c r="N8" i="44"/>
  <c r="N6" i="59" s="1"/>
  <c r="N12" i="44"/>
  <c r="N10" i="59" s="1"/>
  <c r="N16" i="44"/>
  <c r="N14" i="59" s="1"/>
  <c r="N20" i="44"/>
  <c r="N18" i="59" s="1"/>
  <c r="N24" i="44"/>
  <c r="N22" i="59" s="1"/>
  <c r="N14" i="44"/>
  <c r="N12" i="59" s="1"/>
  <c r="N22" i="44"/>
  <c r="N20" i="59" s="1"/>
  <c r="N10" i="44"/>
  <c r="N8" i="59" s="1"/>
  <c r="N18" i="44"/>
  <c r="N16" i="59" s="1"/>
  <c r="N26" i="44"/>
  <c r="N24" i="59" s="1"/>
  <c r="N13" i="44"/>
  <c r="N11" i="59" s="1"/>
  <c r="N21" i="44"/>
  <c r="N19" i="59" s="1"/>
  <c r="N9" i="44"/>
  <c r="N7" i="59" s="1"/>
  <c r="N17" i="44"/>
  <c r="N15" i="59" s="1"/>
  <c r="N25" i="44"/>
  <c r="N23" i="59" s="1"/>
  <c r="L12" i="59"/>
  <c r="E11" i="44"/>
  <c r="E9" i="59" s="1"/>
  <c r="E15" i="44"/>
  <c r="E13" i="59" s="1"/>
  <c r="E19" i="44"/>
  <c r="E17" i="59" s="1"/>
  <c r="E23" i="44"/>
  <c r="E21" i="59" s="1"/>
  <c r="E9" i="44"/>
  <c r="E7" i="59" s="1"/>
  <c r="E13" i="44"/>
  <c r="E11" i="59" s="1"/>
  <c r="E17" i="44"/>
  <c r="E15" i="59" s="1"/>
  <c r="E21" i="44"/>
  <c r="E19" i="59" s="1"/>
  <c r="E25" i="44"/>
  <c r="E23" i="59" s="1"/>
  <c r="E14" i="44"/>
  <c r="E12" i="59" s="1"/>
  <c r="E22" i="44"/>
  <c r="E20" i="59" s="1"/>
  <c r="E8" i="44"/>
  <c r="E6" i="59" s="1"/>
  <c r="E16" i="44"/>
  <c r="E14" i="59" s="1"/>
  <c r="E24" i="44"/>
  <c r="E22" i="59" s="1"/>
  <c r="E10" i="44"/>
  <c r="E8" i="59" s="1"/>
  <c r="E18" i="44"/>
  <c r="E16" i="59" s="1"/>
  <c r="E26" i="44"/>
  <c r="E24" i="59" s="1"/>
  <c r="E12" i="44"/>
  <c r="E10" i="59" s="1"/>
  <c r="E20" i="44"/>
  <c r="E18" i="59" s="1"/>
  <c r="E7" i="44"/>
  <c r="E5" i="59" s="1"/>
  <c r="F17" i="59"/>
  <c r="K11" i="59"/>
  <c r="K17" i="59"/>
  <c r="F10" i="59"/>
  <c r="F8" i="59"/>
  <c r="K20" i="59"/>
  <c r="L7" i="59"/>
  <c r="L22" i="59"/>
  <c r="L6" i="59"/>
  <c r="L13" i="59"/>
  <c r="D9" i="44"/>
  <c r="D7" i="59" s="1"/>
  <c r="D13" i="44"/>
  <c r="D11" i="59" s="1"/>
  <c r="D17" i="44"/>
  <c r="D15" i="59" s="1"/>
  <c r="D21" i="44"/>
  <c r="D19" i="59" s="1"/>
  <c r="D25" i="44"/>
  <c r="D23" i="59" s="1"/>
  <c r="D8" i="44"/>
  <c r="D6" i="59" s="1"/>
  <c r="D14" i="44"/>
  <c r="D12" i="59" s="1"/>
  <c r="D19" i="44"/>
  <c r="D17" i="59" s="1"/>
  <c r="D24" i="44"/>
  <c r="D22" i="59" s="1"/>
  <c r="D23" i="44"/>
  <c r="D21" i="59" s="1"/>
  <c r="D10" i="44"/>
  <c r="D8" i="59" s="1"/>
  <c r="D15" i="44"/>
  <c r="D13" i="59" s="1"/>
  <c r="D20" i="44"/>
  <c r="D18" i="59" s="1"/>
  <c r="D26" i="44"/>
  <c r="D24" i="59" s="1"/>
  <c r="D18" i="44"/>
  <c r="D16" i="59" s="1"/>
  <c r="D11" i="44"/>
  <c r="D9" i="59" s="1"/>
  <c r="D16" i="44"/>
  <c r="D14" i="59" s="1"/>
  <c r="D22" i="44"/>
  <c r="D20" i="59" s="1"/>
  <c r="D7" i="44"/>
  <c r="D4" i="43" s="1"/>
  <c r="D12" i="44"/>
  <c r="D10" i="59" s="1"/>
  <c r="L20" i="59"/>
  <c r="G8" i="44"/>
  <c r="G6" i="59" s="1"/>
  <c r="G12" i="44"/>
  <c r="G10" i="59" s="1"/>
  <c r="G16" i="44"/>
  <c r="G14" i="59" s="1"/>
  <c r="G20" i="44"/>
  <c r="G18" i="59" s="1"/>
  <c r="G24" i="44"/>
  <c r="G22" i="59" s="1"/>
  <c r="G7" i="44"/>
  <c r="G5" i="59" s="1"/>
  <c r="G9" i="44"/>
  <c r="G7" i="59" s="1"/>
  <c r="G13" i="44"/>
  <c r="G11" i="59" s="1"/>
  <c r="G17" i="44"/>
  <c r="G15" i="59" s="1"/>
  <c r="G21" i="44"/>
  <c r="G19" i="59" s="1"/>
  <c r="G25" i="44"/>
  <c r="G23" i="59" s="1"/>
  <c r="G11" i="44"/>
  <c r="G9" i="59" s="1"/>
  <c r="G19" i="44"/>
  <c r="G17" i="59" s="1"/>
  <c r="G15" i="44"/>
  <c r="G13" i="59" s="1"/>
  <c r="G23" i="44"/>
  <c r="G21" i="59" s="1"/>
  <c r="G10" i="44"/>
  <c r="G8" i="59" s="1"/>
  <c r="G26" i="44"/>
  <c r="G24" i="59" s="1"/>
  <c r="G14" i="44"/>
  <c r="G12" i="59" s="1"/>
  <c r="G18" i="44"/>
  <c r="G16" i="59" s="1"/>
  <c r="G22" i="44"/>
  <c r="G20" i="59" s="1"/>
  <c r="L11" i="59"/>
  <c r="K13" i="59"/>
  <c r="F22" i="59"/>
  <c r="F23" i="59"/>
  <c r="F5" i="59"/>
  <c r="F6" i="59"/>
  <c r="K6" i="59"/>
  <c r="L19" i="59"/>
  <c r="L18" i="59"/>
  <c r="L5" i="59"/>
  <c r="L9" i="59"/>
  <c r="B41" i="66"/>
  <c r="C32" i="44"/>
  <c r="O32" i="44" s="1"/>
  <c r="J27" i="66"/>
  <c r="E25" i="66"/>
  <c r="E27" i="66" s="1"/>
  <c r="B27" i="66"/>
  <c r="A181" i="66"/>
  <c r="N110" i="66"/>
  <c r="B112" i="66"/>
  <c r="B113" i="66" s="1"/>
  <c r="N179" i="66"/>
  <c r="D15" i="66"/>
  <c r="D16" i="66" s="1"/>
  <c r="D183" i="66"/>
  <c r="A183" i="66" s="1"/>
  <c r="G22" i="43" l="1"/>
  <c r="M7" i="43"/>
  <c r="G10" i="43"/>
  <c r="E17" i="43"/>
  <c r="N14" i="43"/>
  <c r="M6" i="43"/>
  <c r="D14" i="43"/>
  <c r="E10" i="43"/>
  <c r="G15" i="43"/>
  <c r="I8" i="43"/>
  <c r="E12" i="43"/>
  <c r="G17" i="43"/>
  <c r="C5" i="43"/>
  <c r="C16" i="43"/>
  <c r="I13" i="43"/>
  <c r="E9" i="43"/>
  <c r="I22" i="43"/>
  <c r="D15" i="43"/>
  <c r="G20" i="43"/>
  <c r="N19" i="43"/>
  <c r="C19" i="43"/>
  <c r="C6" i="43"/>
  <c r="C9" i="43"/>
  <c r="C17" i="43"/>
  <c r="C12" i="43"/>
  <c r="C15" i="43"/>
  <c r="C18" i="43"/>
  <c r="I10" i="43"/>
  <c r="D13" i="43"/>
  <c r="D8" i="43"/>
  <c r="M22" i="43"/>
  <c r="E6" i="43"/>
  <c r="N9" i="43"/>
  <c r="N12" i="43"/>
  <c r="G19" i="43"/>
  <c r="D22" i="43"/>
  <c r="E18" i="43"/>
  <c r="I20" i="43"/>
  <c r="D11" i="43"/>
  <c r="M23" i="43"/>
  <c r="E7" i="43"/>
  <c r="N23" i="43"/>
  <c r="G7" i="43"/>
  <c r="D12" i="43"/>
  <c r="N5" i="43"/>
  <c r="I21" i="43"/>
  <c r="D5" i="43"/>
  <c r="D20" i="43"/>
  <c r="M11" i="43"/>
  <c r="E14" i="43"/>
  <c r="N11" i="43"/>
  <c r="G14" i="43"/>
  <c r="I6" i="43"/>
  <c r="M18" i="43"/>
  <c r="N15" i="43"/>
  <c r="D23" i="43"/>
  <c r="E4" i="43"/>
  <c r="E5" i="43"/>
  <c r="I11" i="43"/>
  <c r="N7" i="43"/>
  <c r="I5" i="43"/>
  <c r="M14" i="43"/>
  <c r="D19" i="43"/>
  <c r="C13" i="43"/>
  <c r="C4" i="43"/>
  <c r="C8" i="43"/>
  <c r="C11" i="43"/>
  <c r="C14" i="43"/>
  <c r="I7" i="43"/>
  <c r="D10" i="43"/>
  <c r="M19" i="43"/>
  <c r="E22" i="43"/>
  <c r="N6" i="43"/>
  <c r="G9" i="43"/>
  <c r="G8" i="43"/>
  <c r="M21" i="43"/>
  <c r="G21" i="43"/>
  <c r="I17" i="43"/>
  <c r="I12" i="43"/>
  <c r="D16" i="43"/>
  <c r="M13" i="43"/>
  <c r="M16" i="43"/>
  <c r="E23" i="43"/>
  <c r="N13" i="43"/>
  <c r="N20" i="43"/>
  <c r="G23" i="43"/>
  <c r="I9" i="43"/>
  <c r="M5" i="43"/>
  <c r="N18" i="43"/>
  <c r="I18" i="43"/>
  <c r="D21" i="43"/>
  <c r="M20" i="43"/>
  <c r="E11" i="43"/>
  <c r="N8" i="43"/>
  <c r="G11" i="43"/>
  <c r="I4" i="43"/>
  <c r="E21" i="43"/>
  <c r="G5" i="43"/>
  <c r="C22" i="43"/>
  <c r="C21" i="43"/>
  <c r="C20" i="43"/>
  <c r="C23" i="43"/>
  <c r="C7" i="43"/>
  <c r="C10" i="43"/>
  <c r="I23" i="43"/>
  <c r="D7" i="43"/>
  <c r="M9" i="43"/>
  <c r="M4" i="43"/>
  <c r="E19" i="43"/>
  <c r="N22" i="43"/>
  <c r="G6" i="43"/>
  <c r="M8" i="43"/>
  <c r="G16" i="43"/>
  <c r="I14" i="43"/>
  <c r="D17" i="43"/>
  <c r="M10" i="43"/>
  <c r="E13" i="43"/>
  <c r="E16" i="43"/>
  <c r="N10" i="43"/>
  <c r="G13" i="43"/>
  <c r="G4" i="43"/>
  <c r="I19" i="43"/>
  <c r="M15" i="43"/>
  <c r="N4" i="43"/>
  <c r="I15" i="43"/>
  <c r="D18" i="43"/>
  <c r="M17" i="43"/>
  <c r="M12" i="43"/>
  <c r="E20" i="43"/>
  <c r="N17" i="43"/>
  <c r="N16" i="43"/>
  <c r="G12" i="43"/>
  <c r="D6" i="43"/>
  <c r="E15" i="43"/>
  <c r="G18" i="43"/>
  <c r="O22" i="67"/>
  <c r="AI26" i="3" s="1"/>
  <c r="O6" i="67"/>
  <c r="AI10" i="3" s="1"/>
  <c r="O8" i="67"/>
  <c r="AI12" i="3" s="1"/>
  <c r="O7" i="67"/>
  <c r="AI11" i="3" s="1"/>
  <c r="O18" i="67"/>
  <c r="AI22" i="3" s="1"/>
  <c r="O10" i="67"/>
  <c r="AI14" i="3" s="1"/>
  <c r="C5" i="59"/>
  <c r="O12" i="67"/>
  <c r="AI16" i="3" s="1"/>
  <c r="O16" i="67"/>
  <c r="AI20" i="3" s="1"/>
  <c r="O11" i="67"/>
  <c r="AI15" i="3" s="1"/>
  <c r="O14" i="67"/>
  <c r="AI18" i="3" s="1"/>
  <c r="C14" i="59"/>
  <c r="O4" i="67"/>
  <c r="O21" i="67"/>
  <c r="AI25" i="3" s="1"/>
  <c r="O17" i="67"/>
  <c r="AI21" i="3" s="1"/>
  <c r="C6" i="59"/>
  <c r="O19" i="67"/>
  <c r="AI23" i="3" s="1"/>
  <c r="O13" i="67"/>
  <c r="AI17" i="3" s="1"/>
  <c r="C17" i="59"/>
  <c r="C16" i="59"/>
  <c r="O5" i="67"/>
  <c r="AI9" i="3" s="1"/>
  <c r="O9" i="67"/>
  <c r="AI13" i="3" s="1"/>
  <c r="O23" i="67"/>
  <c r="AI27" i="3" s="1"/>
  <c r="C23" i="59"/>
  <c r="C7" i="59"/>
  <c r="O20" i="67"/>
  <c r="AI24" i="3" s="1"/>
  <c r="C10" i="59"/>
  <c r="C18" i="59"/>
  <c r="C19" i="59"/>
  <c r="O15" i="67"/>
  <c r="AI19" i="3" s="1"/>
  <c r="C30" i="41"/>
  <c r="C30" i="42"/>
  <c r="C13" i="59"/>
  <c r="C12" i="59"/>
  <c r="C24" i="59"/>
  <c r="C8" i="59"/>
  <c r="C20" i="59"/>
  <c r="G9" i="65"/>
  <c r="G10" i="65"/>
  <c r="G11" i="65"/>
  <c r="G12" i="65"/>
  <c r="G13" i="65"/>
  <c r="G14" i="65"/>
  <c r="G15" i="65"/>
  <c r="G16" i="65"/>
  <c r="G17" i="65"/>
  <c r="G18" i="65"/>
  <c r="G19" i="65"/>
  <c r="G20" i="65"/>
  <c r="G21" i="65"/>
  <c r="G22" i="65"/>
  <c r="G23" i="65"/>
  <c r="G24" i="65"/>
  <c r="G25" i="65"/>
  <c r="G26" i="65"/>
  <c r="G27" i="65"/>
  <c r="G8" i="65"/>
  <c r="I91" i="15"/>
  <c r="K89" i="15"/>
  <c r="I95" i="15" l="1"/>
  <c r="I94" i="15"/>
  <c r="I93" i="15"/>
  <c r="I97" i="15"/>
  <c r="I90" i="15"/>
  <c r="AI8" i="3"/>
  <c r="AI28" i="3" s="1"/>
  <c r="C28" i="65"/>
  <c r="D11" i="65" s="1"/>
  <c r="E11" i="65" s="1"/>
  <c r="G28" i="65"/>
  <c r="D24" i="65" l="1"/>
  <c r="E24" i="65" s="1"/>
  <c r="D25" i="65"/>
  <c r="E25" i="65" s="1"/>
  <c r="D13" i="65"/>
  <c r="E13" i="65" s="1"/>
  <c r="D17" i="65"/>
  <c r="E17" i="65" s="1"/>
  <c r="D9" i="65"/>
  <c r="E9" i="65" s="1"/>
  <c r="I96" i="15"/>
  <c r="K96" i="15" s="1"/>
  <c r="F11" i="65" s="1"/>
  <c r="D23" i="65"/>
  <c r="E23" i="65" s="1"/>
  <c r="D18" i="65"/>
  <c r="E18" i="65" s="1"/>
  <c r="D14" i="65"/>
  <c r="E14" i="65" s="1"/>
  <c r="D10" i="65"/>
  <c r="E10" i="65" s="1"/>
  <c r="D22" i="65"/>
  <c r="E22" i="65" s="1"/>
  <c r="D26" i="65"/>
  <c r="E26" i="65" s="1"/>
  <c r="D16" i="65"/>
  <c r="E16" i="65" s="1"/>
  <c r="D12" i="65"/>
  <c r="E12" i="65" s="1"/>
  <c r="D8" i="65"/>
  <c r="D21" i="65"/>
  <c r="E21" i="65" s="1"/>
  <c r="F21" i="65" s="1"/>
  <c r="D27" i="65"/>
  <c r="E27" i="65" s="1"/>
  <c r="D20" i="65"/>
  <c r="E20" i="65" s="1"/>
  <c r="D15" i="65"/>
  <c r="E15" i="65" s="1"/>
  <c r="F15" i="65" s="1"/>
  <c r="D19" i="65"/>
  <c r="E19" i="65" s="1"/>
  <c r="F19" i="65" s="1"/>
  <c r="F17" i="65" l="1"/>
  <c r="F22" i="65"/>
  <c r="F23" i="65"/>
  <c r="F27" i="65"/>
  <c r="F16" i="65"/>
  <c r="F14" i="65"/>
  <c r="F12" i="65"/>
  <c r="F10" i="65"/>
  <c r="F13" i="65"/>
  <c r="F20" i="65"/>
  <c r="F26" i="65"/>
  <c r="F18" i="65"/>
  <c r="F9" i="65"/>
  <c r="F24" i="65"/>
  <c r="F25" i="65"/>
  <c r="D28" i="65"/>
  <c r="E8" i="65"/>
  <c r="F8" i="65" s="1"/>
  <c r="E28" i="65" l="1"/>
  <c r="F28" i="65" l="1"/>
  <c r="I37" i="18" l="1"/>
  <c r="J37" i="18"/>
  <c r="I38" i="18"/>
  <c r="J38" i="18"/>
  <c r="I39" i="18"/>
  <c r="J39" i="18"/>
  <c r="I40" i="18"/>
  <c r="J40" i="18"/>
  <c r="I41" i="18"/>
  <c r="J41" i="18"/>
  <c r="I42" i="18"/>
  <c r="J42" i="18"/>
  <c r="I43" i="18"/>
  <c r="J43" i="18"/>
  <c r="I44" i="18"/>
  <c r="J44" i="18"/>
  <c r="I45" i="18"/>
  <c r="J45" i="18"/>
  <c r="I46" i="18"/>
  <c r="J46" i="18"/>
  <c r="I47" i="18"/>
  <c r="J47" i="18"/>
  <c r="I48" i="18"/>
  <c r="J48" i="18"/>
  <c r="I49" i="18"/>
  <c r="J49" i="18"/>
  <c r="I50" i="18"/>
  <c r="J50" i="18"/>
  <c r="I51" i="18"/>
  <c r="J51" i="18"/>
  <c r="I52" i="18"/>
  <c r="J52" i="18"/>
  <c r="I53" i="18"/>
  <c r="J53" i="18"/>
  <c r="I54" i="18"/>
  <c r="J54" i="18"/>
  <c r="I55" i="18"/>
  <c r="J55" i="18"/>
  <c r="J36" i="18"/>
  <c r="I36" i="18"/>
  <c r="F37" i="18"/>
  <c r="G37" i="18"/>
  <c r="F38" i="18"/>
  <c r="G38" i="18"/>
  <c r="F39" i="18"/>
  <c r="G39" i="18"/>
  <c r="F40" i="18"/>
  <c r="G40" i="18"/>
  <c r="F41" i="18"/>
  <c r="G41" i="18"/>
  <c r="F42" i="18"/>
  <c r="G42" i="18"/>
  <c r="F43" i="18"/>
  <c r="G43" i="18"/>
  <c r="F44" i="18"/>
  <c r="G44" i="18"/>
  <c r="F45" i="18"/>
  <c r="G45" i="18"/>
  <c r="F46" i="18"/>
  <c r="G46" i="18"/>
  <c r="F47" i="18"/>
  <c r="G47" i="18"/>
  <c r="F48" i="18"/>
  <c r="G48" i="18"/>
  <c r="F49" i="18"/>
  <c r="G49" i="18"/>
  <c r="F50" i="18"/>
  <c r="G50" i="18"/>
  <c r="F51" i="18"/>
  <c r="G51" i="18"/>
  <c r="F52" i="18"/>
  <c r="G52" i="18"/>
  <c r="F53" i="18"/>
  <c r="G53" i="18"/>
  <c r="F54" i="18"/>
  <c r="G54" i="18"/>
  <c r="F55" i="18"/>
  <c r="G55" i="18"/>
  <c r="G36" i="18"/>
  <c r="F36" i="18"/>
  <c r="O32" i="39" l="1"/>
  <c r="O31" i="41"/>
  <c r="O31" i="45" l="1"/>
  <c r="O36" i="21"/>
  <c r="B8" i="47" l="1"/>
  <c r="C8" i="47" s="1"/>
  <c r="B9" i="47"/>
  <c r="C9" i="47" s="1"/>
  <c r="B10" i="47"/>
  <c r="C10" i="47" s="1"/>
  <c r="B11" i="47"/>
  <c r="C11" i="47" s="1"/>
  <c r="B14" i="47"/>
  <c r="B15" i="47"/>
  <c r="B16" i="47"/>
  <c r="B18" i="47"/>
  <c r="B19" i="47"/>
  <c r="B21" i="47"/>
  <c r="B23" i="47"/>
  <c r="B24" i="47"/>
  <c r="B26" i="47"/>
  <c r="C26" i="47" s="1"/>
  <c r="B7" i="47"/>
  <c r="N32" i="41"/>
  <c r="M32" i="41"/>
  <c r="L32" i="41"/>
  <c r="K32" i="41"/>
  <c r="J32" i="41"/>
  <c r="I32" i="41"/>
  <c r="H32" i="41"/>
  <c r="G32" i="41"/>
  <c r="F32" i="41"/>
  <c r="E32" i="41"/>
  <c r="J32" i="47" l="1"/>
  <c r="D33" i="39"/>
  <c r="E32" i="47"/>
  <c r="I32" i="47"/>
  <c r="M32" i="47"/>
  <c r="G33" i="39"/>
  <c r="K33" i="39"/>
  <c r="F32" i="47"/>
  <c r="L33" i="39"/>
  <c r="G32" i="47"/>
  <c r="K32" i="47"/>
  <c r="E33" i="39"/>
  <c r="I33" i="39"/>
  <c r="M33" i="39"/>
  <c r="N32" i="47"/>
  <c r="H33" i="39"/>
  <c r="D32" i="47"/>
  <c r="H32" i="47"/>
  <c r="L32" i="47"/>
  <c r="F33" i="39"/>
  <c r="J33" i="39"/>
  <c r="N33" i="39"/>
  <c r="D32" i="41"/>
  <c r="K33" i="47" l="1"/>
  <c r="K34" i="47"/>
  <c r="E34" i="47"/>
  <c r="E33" i="47"/>
  <c r="D33" i="47"/>
  <c r="D34" i="47"/>
  <c r="N33" i="47"/>
  <c r="N34" i="47"/>
  <c r="I33" i="47"/>
  <c r="I34" i="47"/>
  <c r="H33" i="47"/>
  <c r="H34" i="47"/>
  <c r="G34" i="47"/>
  <c r="G33" i="47"/>
  <c r="M34" i="47"/>
  <c r="M33" i="47"/>
  <c r="L33" i="47"/>
  <c r="L34" i="47"/>
  <c r="F33" i="47"/>
  <c r="F34" i="47"/>
  <c r="J33" i="47"/>
  <c r="J34" i="47"/>
  <c r="C32" i="41"/>
  <c r="O30" i="41"/>
  <c r="O32" i="41" s="1"/>
  <c r="C32" i="47"/>
  <c r="C33" i="39"/>
  <c r="C34" i="47" l="1"/>
  <c r="C33" i="47"/>
  <c r="O33" i="47" s="1"/>
  <c r="O32" i="47"/>
  <c r="O34" i="47" l="1"/>
  <c r="C21" i="47"/>
  <c r="C14" i="47"/>
  <c r="C18" i="47"/>
  <c r="C15" i="47"/>
  <c r="C19" i="47"/>
  <c r="C23" i="47"/>
  <c r="C16" i="47"/>
  <c r="C24" i="47"/>
  <c r="O29" i="63" l="1"/>
  <c r="N23" i="63"/>
  <c r="M23" i="63"/>
  <c r="L23" i="63"/>
  <c r="K23" i="63"/>
  <c r="J23" i="63"/>
  <c r="I23" i="63"/>
  <c r="H23" i="63"/>
  <c r="G23" i="63"/>
  <c r="F23" i="63"/>
  <c r="E23" i="63"/>
  <c r="D23" i="63"/>
  <c r="C23" i="63"/>
  <c r="O23" i="63" s="1"/>
  <c r="N22" i="63"/>
  <c r="M22" i="63"/>
  <c r="L22" i="63"/>
  <c r="K22" i="63"/>
  <c r="J22" i="63"/>
  <c r="I22" i="63"/>
  <c r="H22" i="63"/>
  <c r="G22" i="63"/>
  <c r="F22" i="63"/>
  <c r="E22" i="63"/>
  <c r="D22" i="63"/>
  <c r="C22" i="63"/>
  <c r="O22" i="63" s="1"/>
  <c r="N21" i="63"/>
  <c r="M21" i="63"/>
  <c r="L21" i="63"/>
  <c r="K21" i="63"/>
  <c r="J21" i="63"/>
  <c r="I21" i="63"/>
  <c r="H21" i="63"/>
  <c r="G21" i="63"/>
  <c r="F21" i="63"/>
  <c r="E21" i="63"/>
  <c r="D21" i="63"/>
  <c r="C21" i="63"/>
  <c r="O21" i="63" s="1"/>
  <c r="N20" i="63"/>
  <c r="M20" i="63"/>
  <c r="L20" i="63"/>
  <c r="K20" i="63"/>
  <c r="J20" i="63"/>
  <c r="I20" i="63"/>
  <c r="H20" i="63"/>
  <c r="G20" i="63"/>
  <c r="F20" i="63"/>
  <c r="E20" i="63"/>
  <c r="D20" i="63"/>
  <c r="C20" i="63"/>
  <c r="O20" i="63" s="1"/>
  <c r="N19" i="63"/>
  <c r="M19" i="63"/>
  <c r="L19" i="63"/>
  <c r="K19" i="63"/>
  <c r="J19" i="63"/>
  <c r="I19" i="63"/>
  <c r="H19" i="63"/>
  <c r="G19" i="63"/>
  <c r="F19" i="63"/>
  <c r="E19" i="63"/>
  <c r="D19" i="63"/>
  <c r="C19" i="63"/>
  <c r="N18" i="63"/>
  <c r="M18" i="63"/>
  <c r="L18" i="63"/>
  <c r="K18" i="63"/>
  <c r="J18" i="63"/>
  <c r="I18" i="63"/>
  <c r="H18" i="63"/>
  <c r="G18" i="63"/>
  <c r="F18" i="63"/>
  <c r="E18" i="63"/>
  <c r="D18" i="63"/>
  <c r="C18" i="63"/>
  <c r="N17" i="63"/>
  <c r="M17" i="63"/>
  <c r="L17" i="63"/>
  <c r="K17" i="63"/>
  <c r="J17" i="63"/>
  <c r="I17" i="63"/>
  <c r="H17" i="63"/>
  <c r="G17" i="63"/>
  <c r="F17" i="63"/>
  <c r="E17" i="63"/>
  <c r="D17" i="63"/>
  <c r="C17" i="63"/>
  <c r="O17" i="63" s="1"/>
  <c r="N16" i="63"/>
  <c r="M16" i="63"/>
  <c r="L16" i="63"/>
  <c r="K16" i="63"/>
  <c r="J16" i="63"/>
  <c r="I16" i="63"/>
  <c r="H16" i="63"/>
  <c r="G16" i="63"/>
  <c r="F16" i="63"/>
  <c r="E16" i="63"/>
  <c r="D16" i="63"/>
  <c r="C16" i="63"/>
  <c r="O16" i="63" s="1"/>
  <c r="N15" i="63"/>
  <c r="M15" i="63"/>
  <c r="L15" i="63"/>
  <c r="K15" i="63"/>
  <c r="J15" i="63"/>
  <c r="I15" i="63"/>
  <c r="H15" i="63"/>
  <c r="G15" i="63"/>
  <c r="F15" i="63"/>
  <c r="E15" i="63"/>
  <c r="D15" i="63"/>
  <c r="C15" i="63"/>
  <c r="O15" i="63" s="1"/>
  <c r="N14" i="63"/>
  <c r="M14" i="63"/>
  <c r="L14" i="63"/>
  <c r="K14" i="63"/>
  <c r="J14" i="63"/>
  <c r="I14" i="63"/>
  <c r="H14" i="63"/>
  <c r="G14" i="63"/>
  <c r="F14" i="63"/>
  <c r="E14" i="63"/>
  <c r="D14" i="63"/>
  <c r="C14" i="63"/>
  <c r="O14" i="63" s="1"/>
  <c r="N13" i="63"/>
  <c r="M13" i="63"/>
  <c r="L13" i="63"/>
  <c r="K13" i="63"/>
  <c r="J13" i="63"/>
  <c r="I13" i="63"/>
  <c r="H13" i="63"/>
  <c r="G13" i="63"/>
  <c r="F13" i="63"/>
  <c r="E13" i="63"/>
  <c r="D13" i="63"/>
  <c r="C13" i="63"/>
  <c r="O13" i="63" s="1"/>
  <c r="N12" i="63"/>
  <c r="M12" i="63"/>
  <c r="L12" i="63"/>
  <c r="K12" i="63"/>
  <c r="J12" i="63"/>
  <c r="I12" i="63"/>
  <c r="H12" i="63"/>
  <c r="G12" i="63"/>
  <c r="F12" i="63"/>
  <c r="E12" i="63"/>
  <c r="D12" i="63"/>
  <c r="C12" i="63"/>
  <c r="O12" i="63" s="1"/>
  <c r="N11" i="63"/>
  <c r="M11" i="63"/>
  <c r="L11" i="63"/>
  <c r="K11" i="63"/>
  <c r="J11" i="63"/>
  <c r="I11" i="63"/>
  <c r="H11" i="63"/>
  <c r="G11" i="63"/>
  <c r="F11" i="63"/>
  <c r="E11" i="63"/>
  <c r="D11" i="63"/>
  <c r="C11" i="63"/>
  <c r="N10" i="63"/>
  <c r="M10" i="63"/>
  <c r="L10" i="63"/>
  <c r="K10" i="63"/>
  <c r="J10" i="63"/>
  <c r="I10" i="63"/>
  <c r="H10" i="63"/>
  <c r="G10" i="63"/>
  <c r="F10" i="63"/>
  <c r="E10" i="63"/>
  <c r="D10" i="63"/>
  <c r="C10" i="63"/>
  <c r="N9" i="63"/>
  <c r="M9" i="63"/>
  <c r="L9" i="63"/>
  <c r="K9" i="63"/>
  <c r="J9" i="63"/>
  <c r="I9" i="63"/>
  <c r="H9" i="63"/>
  <c r="G9" i="63"/>
  <c r="F9" i="63"/>
  <c r="E9" i="63"/>
  <c r="D9" i="63"/>
  <c r="C9" i="63"/>
  <c r="N8" i="63"/>
  <c r="M8" i="63"/>
  <c r="L8" i="63"/>
  <c r="K8" i="63"/>
  <c r="J8" i="63"/>
  <c r="I8" i="63"/>
  <c r="H8" i="63"/>
  <c r="G8" i="63"/>
  <c r="F8" i="63"/>
  <c r="E8" i="63"/>
  <c r="D8" i="63"/>
  <c r="C8" i="63"/>
  <c r="O8" i="63" s="1"/>
  <c r="N7" i="63"/>
  <c r="M7" i="63"/>
  <c r="L7" i="63"/>
  <c r="K7" i="63"/>
  <c r="J7" i="63"/>
  <c r="I7" i="63"/>
  <c r="H7" i="63"/>
  <c r="G7" i="63"/>
  <c r="F7" i="63"/>
  <c r="E7" i="63"/>
  <c r="D7" i="63"/>
  <c r="C7" i="63"/>
  <c r="O7" i="63" s="1"/>
  <c r="N6" i="63"/>
  <c r="M6" i="63"/>
  <c r="L6" i="63"/>
  <c r="K6" i="63"/>
  <c r="J6" i="63"/>
  <c r="I6" i="63"/>
  <c r="H6" i="63"/>
  <c r="G6" i="63"/>
  <c r="F6" i="63"/>
  <c r="E6" i="63"/>
  <c r="D6" i="63"/>
  <c r="C6" i="63"/>
  <c r="O6" i="63" s="1"/>
  <c r="N5" i="63"/>
  <c r="M5" i="63"/>
  <c r="L5" i="63"/>
  <c r="K5" i="63"/>
  <c r="J5" i="63"/>
  <c r="I5" i="63"/>
  <c r="H5" i="63"/>
  <c r="G5" i="63"/>
  <c r="F5" i="63"/>
  <c r="E5" i="63"/>
  <c r="D5" i="63"/>
  <c r="C5" i="63"/>
  <c r="O5" i="63" s="1"/>
  <c r="B4" i="63"/>
  <c r="G4" i="63" s="1"/>
  <c r="M23" i="61"/>
  <c r="L23" i="61"/>
  <c r="K23" i="61"/>
  <c r="J23" i="61"/>
  <c r="I23" i="61"/>
  <c r="H23" i="61"/>
  <c r="G23" i="61"/>
  <c r="F23" i="61"/>
  <c r="E23" i="61"/>
  <c r="D23" i="61"/>
  <c r="C23" i="61"/>
  <c r="B23" i="61"/>
  <c r="M22" i="61"/>
  <c r="L22" i="61"/>
  <c r="K22" i="61"/>
  <c r="J22" i="61"/>
  <c r="I22" i="61"/>
  <c r="H22" i="61"/>
  <c r="G22" i="61"/>
  <c r="F22" i="61"/>
  <c r="E22" i="61"/>
  <c r="D22" i="61"/>
  <c r="C22" i="61"/>
  <c r="B22" i="61"/>
  <c r="M21" i="61"/>
  <c r="L21" i="61"/>
  <c r="K21" i="61"/>
  <c r="J21" i="61"/>
  <c r="I21" i="61"/>
  <c r="H21" i="61"/>
  <c r="G21" i="61"/>
  <c r="F21" i="61"/>
  <c r="E21" i="61"/>
  <c r="D21" i="61"/>
  <c r="C21" i="61"/>
  <c r="B21" i="61"/>
  <c r="M20" i="61"/>
  <c r="L20" i="61"/>
  <c r="K20" i="61"/>
  <c r="J20" i="61"/>
  <c r="I20" i="61"/>
  <c r="H20" i="61"/>
  <c r="G20" i="61"/>
  <c r="F20" i="61"/>
  <c r="E20" i="61"/>
  <c r="D20" i="61"/>
  <c r="C20" i="61"/>
  <c r="B20" i="61"/>
  <c r="M19" i="61"/>
  <c r="L19" i="61"/>
  <c r="K19" i="61"/>
  <c r="J19" i="61"/>
  <c r="I19" i="61"/>
  <c r="H19" i="61"/>
  <c r="G19" i="61"/>
  <c r="F19" i="61"/>
  <c r="E19" i="61"/>
  <c r="D19" i="61"/>
  <c r="C19" i="61"/>
  <c r="B19" i="61"/>
  <c r="M18" i="61"/>
  <c r="L18" i="61"/>
  <c r="K18" i="61"/>
  <c r="J18" i="61"/>
  <c r="I18" i="61"/>
  <c r="H18" i="61"/>
  <c r="G18" i="61"/>
  <c r="F18" i="61"/>
  <c r="E18" i="61"/>
  <c r="D18" i="61"/>
  <c r="C18" i="61"/>
  <c r="B18" i="61"/>
  <c r="M17" i="61"/>
  <c r="L17" i="61"/>
  <c r="K17" i="61"/>
  <c r="J17" i="61"/>
  <c r="I17" i="61"/>
  <c r="H17" i="61"/>
  <c r="G17" i="61"/>
  <c r="F17" i="61"/>
  <c r="E17" i="61"/>
  <c r="D17" i="61"/>
  <c r="C17" i="61"/>
  <c r="B17" i="61"/>
  <c r="M16" i="61"/>
  <c r="L16" i="61"/>
  <c r="K16" i="61"/>
  <c r="J16" i="61"/>
  <c r="I16" i="61"/>
  <c r="H16" i="61"/>
  <c r="G16" i="61"/>
  <c r="F16" i="61"/>
  <c r="E16" i="61"/>
  <c r="D16" i="61"/>
  <c r="C16" i="61"/>
  <c r="B16" i="61"/>
  <c r="M15" i="61"/>
  <c r="L15" i="61"/>
  <c r="K15" i="61"/>
  <c r="J15" i="61"/>
  <c r="I15" i="61"/>
  <c r="H15" i="61"/>
  <c r="G15" i="61"/>
  <c r="F15" i="61"/>
  <c r="E15" i="61"/>
  <c r="D15" i="61"/>
  <c r="C15" i="61"/>
  <c r="B15" i="61"/>
  <c r="M14" i="61"/>
  <c r="L14" i="61"/>
  <c r="K14" i="61"/>
  <c r="J14" i="61"/>
  <c r="I14" i="61"/>
  <c r="H14" i="61"/>
  <c r="G14" i="61"/>
  <c r="F14" i="61"/>
  <c r="E14" i="61"/>
  <c r="D14" i="61"/>
  <c r="C14" i="61"/>
  <c r="B14" i="61"/>
  <c r="M13" i="61"/>
  <c r="L13" i="61"/>
  <c r="K13" i="61"/>
  <c r="J13" i="61"/>
  <c r="I13" i="61"/>
  <c r="H13" i="61"/>
  <c r="G13" i="61"/>
  <c r="F13" i="61"/>
  <c r="E13" i="61"/>
  <c r="D13" i="61"/>
  <c r="C13" i="61"/>
  <c r="B13" i="61"/>
  <c r="M12" i="61"/>
  <c r="L12" i="61"/>
  <c r="K12" i="61"/>
  <c r="J12" i="61"/>
  <c r="I12" i="61"/>
  <c r="H12" i="61"/>
  <c r="G12" i="61"/>
  <c r="F12" i="61"/>
  <c r="E12" i="61"/>
  <c r="D12" i="61"/>
  <c r="C12" i="61"/>
  <c r="B12" i="61"/>
  <c r="M11" i="61"/>
  <c r="L11" i="61"/>
  <c r="K11" i="61"/>
  <c r="J11" i="61"/>
  <c r="I11" i="61"/>
  <c r="H11" i="61"/>
  <c r="G11" i="61"/>
  <c r="F11" i="61"/>
  <c r="E11" i="61"/>
  <c r="D11" i="61"/>
  <c r="C11" i="61"/>
  <c r="B11" i="61"/>
  <c r="M10" i="61"/>
  <c r="L10" i="61"/>
  <c r="K10" i="61"/>
  <c r="J10" i="61"/>
  <c r="I10" i="61"/>
  <c r="H10" i="61"/>
  <c r="G10" i="61"/>
  <c r="F10" i="61"/>
  <c r="E10" i="61"/>
  <c r="D10" i="61"/>
  <c r="C10" i="61"/>
  <c r="B10" i="61"/>
  <c r="M9" i="61"/>
  <c r="L9" i="61"/>
  <c r="K9" i="61"/>
  <c r="J9" i="61"/>
  <c r="I9" i="61"/>
  <c r="H9" i="61"/>
  <c r="G9" i="61"/>
  <c r="F9" i="61"/>
  <c r="E9" i="61"/>
  <c r="D9" i="61"/>
  <c r="C9" i="61"/>
  <c r="B9" i="61"/>
  <c r="M8" i="61"/>
  <c r="L8" i="61"/>
  <c r="K8" i="61"/>
  <c r="J8" i="61"/>
  <c r="I8" i="61"/>
  <c r="H8" i="61"/>
  <c r="G8" i="61"/>
  <c r="F8" i="61"/>
  <c r="E8" i="61"/>
  <c r="D8" i="61"/>
  <c r="C8" i="61"/>
  <c r="B8" i="61"/>
  <c r="M7" i="61"/>
  <c r="L7" i="61"/>
  <c r="K7" i="61"/>
  <c r="J7" i="61"/>
  <c r="I7" i="61"/>
  <c r="H7" i="61"/>
  <c r="G7" i="61"/>
  <c r="F7" i="61"/>
  <c r="E7" i="61"/>
  <c r="D7" i="61"/>
  <c r="C7" i="61"/>
  <c r="B7" i="61"/>
  <c r="M6" i="61"/>
  <c r="L6" i="61"/>
  <c r="K6" i="61"/>
  <c r="J6" i="61"/>
  <c r="I6" i="61"/>
  <c r="H6" i="61"/>
  <c r="G6" i="61"/>
  <c r="F6" i="61"/>
  <c r="E6" i="61"/>
  <c r="D6" i="61"/>
  <c r="C6" i="61"/>
  <c r="B6" i="61"/>
  <c r="M5" i="61"/>
  <c r="L5" i="61"/>
  <c r="K5" i="61"/>
  <c r="J5" i="61"/>
  <c r="I5" i="61"/>
  <c r="H5" i="61"/>
  <c r="G5" i="61"/>
  <c r="F5" i="61"/>
  <c r="E5" i="61"/>
  <c r="D5" i="61"/>
  <c r="C5" i="61"/>
  <c r="B5" i="61"/>
  <c r="M4" i="61"/>
  <c r="M24" i="61" s="1"/>
  <c r="L4" i="61"/>
  <c r="K4" i="61"/>
  <c r="K24" i="61" s="1"/>
  <c r="J4" i="61"/>
  <c r="I4" i="61"/>
  <c r="H4" i="61"/>
  <c r="G4" i="61"/>
  <c r="G24" i="61" s="1"/>
  <c r="F4" i="61"/>
  <c r="E4" i="61"/>
  <c r="E24" i="61" s="1"/>
  <c r="D4" i="61"/>
  <c r="C4" i="61"/>
  <c r="C24" i="61" s="1"/>
  <c r="B4" i="61"/>
  <c r="B24" i="60"/>
  <c r="N23" i="60"/>
  <c r="M23" i="60"/>
  <c r="L23" i="60"/>
  <c r="K23" i="60"/>
  <c r="J23" i="60"/>
  <c r="I23" i="60"/>
  <c r="H23" i="60"/>
  <c r="G23" i="60"/>
  <c r="F23" i="60"/>
  <c r="E23" i="60"/>
  <c r="D23" i="60"/>
  <c r="C23" i="60"/>
  <c r="N22" i="60"/>
  <c r="M22" i="60"/>
  <c r="L22" i="60"/>
  <c r="K22" i="60"/>
  <c r="J22" i="60"/>
  <c r="I22" i="60"/>
  <c r="H22" i="60"/>
  <c r="G22" i="60"/>
  <c r="F22" i="60"/>
  <c r="E22" i="60"/>
  <c r="D22" i="60"/>
  <c r="C22" i="60"/>
  <c r="N21" i="60"/>
  <c r="M21" i="60"/>
  <c r="L21" i="60"/>
  <c r="K21" i="60"/>
  <c r="J21" i="60"/>
  <c r="I21" i="60"/>
  <c r="H21" i="60"/>
  <c r="G21" i="60"/>
  <c r="F21" i="60"/>
  <c r="E21" i="60"/>
  <c r="D21" i="60"/>
  <c r="C21" i="60"/>
  <c r="N20" i="60"/>
  <c r="M20" i="60"/>
  <c r="L20" i="60"/>
  <c r="K20" i="60"/>
  <c r="J20" i="60"/>
  <c r="I20" i="60"/>
  <c r="H20" i="60"/>
  <c r="G20" i="60"/>
  <c r="F20" i="60"/>
  <c r="E20" i="60"/>
  <c r="D20" i="60"/>
  <c r="C20" i="60"/>
  <c r="N19" i="60"/>
  <c r="M19" i="60"/>
  <c r="L19" i="60"/>
  <c r="K19" i="60"/>
  <c r="J19" i="60"/>
  <c r="I19" i="60"/>
  <c r="H19" i="60"/>
  <c r="G19" i="60"/>
  <c r="F19" i="60"/>
  <c r="E19" i="60"/>
  <c r="D19" i="60"/>
  <c r="C19" i="60"/>
  <c r="N18" i="60"/>
  <c r="M18" i="60"/>
  <c r="L18" i="60"/>
  <c r="K18" i="60"/>
  <c r="J18" i="60"/>
  <c r="I18" i="60"/>
  <c r="H18" i="60"/>
  <c r="G18" i="60"/>
  <c r="F18" i="60"/>
  <c r="E18" i="60"/>
  <c r="D18" i="60"/>
  <c r="C18" i="60"/>
  <c r="N17" i="60"/>
  <c r="M17" i="60"/>
  <c r="L17" i="60"/>
  <c r="K17" i="60"/>
  <c r="J17" i="60"/>
  <c r="I17" i="60"/>
  <c r="H17" i="60"/>
  <c r="G17" i="60"/>
  <c r="F17" i="60"/>
  <c r="E17" i="60"/>
  <c r="D17" i="60"/>
  <c r="C17" i="60"/>
  <c r="N16" i="60"/>
  <c r="M16" i="60"/>
  <c r="L16" i="60"/>
  <c r="K16" i="60"/>
  <c r="J16" i="60"/>
  <c r="I16" i="60"/>
  <c r="H16" i="60"/>
  <c r="G16" i="60"/>
  <c r="F16" i="60"/>
  <c r="E16" i="60"/>
  <c r="D16" i="60"/>
  <c r="C16" i="60"/>
  <c r="N15" i="60"/>
  <c r="M15" i="60"/>
  <c r="L15" i="60"/>
  <c r="K15" i="60"/>
  <c r="J15" i="60"/>
  <c r="I15" i="60"/>
  <c r="H15" i="60"/>
  <c r="G15" i="60"/>
  <c r="F15" i="60"/>
  <c r="E15" i="60"/>
  <c r="D15" i="60"/>
  <c r="C15" i="60"/>
  <c r="N14" i="60"/>
  <c r="M14" i="60"/>
  <c r="L14" i="60"/>
  <c r="K14" i="60"/>
  <c r="J14" i="60"/>
  <c r="I14" i="60"/>
  <c r="H14" i="60"/>
  <c r="G14" i="60"/>
  <c r="F14" i="60"/>
  <c r="E14" i="60"/>
  <c r="D14" i="60"/>
  <c r="C14" i="60"/>
  <c r="N13" i="60"/>
  <c r="M13" i="60"/>
  <c r="L13" i="60"/>
  <c r="K13" i="60"/>
  <c r="J13" i="60"/>
  <c r="I13" i="60"/>
  <c r="H13" i="60"/>
  <c r="G13" i="60"/>
  <c r="F13" i="60"/>
  <c r="E13" i="60"/>
  <c r="D13" i="60"/>
  <c r="C13" i="60"/>
  <c r="N12" i="60"/>
  <c r="M12" i="60"/>
  <c r="L12" i="60"/>
  <c r="K12" i="60"/>
  <c r="J12" i="60"/>
  <c r="I12" i="60"/>
  <c r="H12" i="60"/>
  <c r="G12" i="60"/>
  <c r="F12" i="60"/>
  <c r="E12" i="60"/>
  <c r="D12" i="60"/>
  <c r="C12" i="60"/>
  <c r="N11" i="60"/>
  <c r="M11" i="60"/>
  <c r="L11" i="60"/>
  <c r="K11" i="60"/>
  <c r="J11" i="60"/>
  <c r="I11" i="60"/>
  <c r="H11" i="60"/>
  <c r="G11" i="60"/>
  <c r="F11" i="60"/>
  <c r="E11" i="60"/>
  <c r="D11" i="60"/>
  <c r="C11" i="60"/>
  <c r="N10" i="60"/>
  <c r="M10" i="60"/>
  <c r="L10" i="60"/>
  <c r="K10" i="60"/>
  <c r="J10" i="60"/>
  <c r="I10" i="60"/>
  <c r="H10" i="60"/>
  <c r="G10" i="60"/>
  <c r="F10" i="60"/>
  <c r="E10" i="60"/>
  <c r="D10" i="60"/>
  <c r="C10" i="60"/>
  <c r="N9" i="60"/>
  <c r="M9" i="60"/>
  <c r="L9" i="60"/>
  <c r="K9" i="60"/>
  <c r="J9" i="60"/>
  <c r="I9" i="60"/>
  <c r="H9" i="60"/>
  <c r="G9" i="60"/>
  <c r="F9" i="60"/>
  <c r="E9" i="60"/>
  <c r="D9" i="60"/>
  <c r="C9" i="60"/>
  <c r="N8" i="60"/>
  <c r="M8" i="60"/>
  <c r="L8" i="60"/>
  <c r="K8" i="60"/>
  <c r="J8" i="60"/>
  <c r="I8" i="60"/>
  <c r="H8" i="60"/>
  <c r="G8" i="60"/>
  <c r="F8" i="60"/>
  <c r="E8" i="60"/>
  <c r="D8" i="60"/>
  <c r="C8" i="60"/>
  <c r="N7" i="60"/>
  <c r="M7" i="60"/>
  <c r="L7" i="60"/>
  <c r="K7" i="60"/>
  <c r="J7" i="60"/>
  <c r="I7" i="60"/>
  <c r="H7" i="60"/>
  <c r="G7" i="60"/>
  <c r="F7" i="60"/>
  <c r="E7" i="60"/>
  <c r="D7" i="60"/>
  <c r="C7" i="60"/>
  <c r="N6" i="60"/>
  <c r="M6" i="60"/>
  <c r="L6" i="60"/>
  <c r="K6" i="60"/>
  <c r="J6" i="60"/>
  <c r="I6" i="60"/>
  <c r="H6" i="60"/>
  <c r="G6" i="60"/>
  <c r="F6" i="60"/>
  <c r="E6" i="60"/>
  <c r="D6" i="60"/>
  <c r="C6" i="60"/>
  <c r="N5" i="60"/>
  <c r="M5" i="60"/>
  <c r="L5" i="60"/>
  <c r="K5" i="60"/>
  <c r="J5" i="60"/>
  <c r="I5" i="60"/>
  <c r="H5" i="60"/>
  <c r="G5" i="60"/>
  <c r="F5" i="60"/>
  <c r="E5" i="60"/>
  <c r="D5" i="60"/>
  <c r="C5" i="60"/>
  <c r="N4" i="60"/>
  <c r="M4" i="60"/>
  <c r="L4" i="60"/>
  <c r="L24" i="60" s="1"/>
  <c r="K4" i="60"/>
  <c r="J4" i="60"/>
  <c r="I4" i="60"/>
  <c r="H4" i="60"/>
  <c r="G4" i="60"/>
  <c r="F4" i="60"/>
  <c r="E4" i="60"/>
  <c r="D4" i="60"/>
  <c r="C4" i="60"/>
  <c r="N26" i="59"/>
  <c r="M26" i="59"/>
  <c r="L26" i="59"/>
  <c r="K26" i="59"/>
  <c r="J26" i="59"/>
  <c r="I26" i="59"/>
  <c r="H26" i="59"/>
  <c r="G26" i="59"/>
  <c r="F26" i="59"/>
  <c r="E26" i="59"/>
  <c r="D26" i="59"/>
  <c r="C26" i="59"/>
  <c r="B25" i="59"/>
  <c r="M25" i="59"/>
  <c r="E25" i="59"/>
  <c r="B24" i="58"/>
  <c r="N23" i="58"/>
  <c r="M23" i="58"/>
  <c r="L23" i="58"/>
  <c r="K23" i="58"/>
  <c r="J23" i="58"/>
  <c r="I23" i="58"/>
  <c r="H23" i="58"/>
  <c r="G23" i="58"/>
  <c r="F23" i="58"/>
  <c r="E23" i="58"/>
  <c r="D23" i="58"/>
  <c r="C23" i="58"/>
  <c r="N22" i="58"/>
  <c r="M22" i="58"/>
  <c r="L22" i="58"/>
  <c r="K22" i="58"/>
  <c r="J22" i="58"/>
  <c r="I22" i="58"/>
  <c r="H22" i="58"/>
  <c r="G22" i="58"/>
  <c r="F22" i="58"/>
  <c r="E22" i="58"/>
  <c r="D22" i="58"/>
  <c r="C22" i="58"/>
  <c r="N21" i="58"/>
  <c r="M21" i="58"/>
  <c r="L21" i="58"/>
  <c r="K21" i="58"/>
  <c r="J21" i="58"/>
  <c r="I21" i="58"/>
  <c r="H21" i="58"/>
  <c r="G21" i="58"/>
  <c r="F21" i="58"/>
  <c r="E21" i="58"/>
  <c r="D21" i="58"/>
  <c r="C21" i="58"/>
  <c r="N20" i="58"/>
  <c r="M20" i="58"/>
  <c r="L20" i="58"/>
  <c r="K20" i="58"/>
  <c r="J20" i="58"/>
  <c r="I20" i="58"/>
  <c r="H20" i="58"/>
  <c r="G20" i="58"/>
  <c r="F20" i="58"/>
  <c r="E20" i="58"/>
  <c r="D20" i="58"/>
  <c r="C20" i="58"/>
  <c r="N19" i="58"/>
  <c r="M19" i="58"/>
  <c r="L19" i="58"/>
  <c r="K19" i="58"/>
  <c r="J19" i="58"/>
  <c r="I19" i="58"/>
  <c r="H19" i="58"/>
  <c r="G19" i="58"/>
  <c r="F19" i="58"/>
  <c r="E19" i="58"/>
  <c r="D19" i="58"/>
  <c r="C19" i="58"/>
  <c r="N18" i="58"/>
  <c r="M18" i="58"/>
  <c r="L18" i="58"/>
  <c r="K18" i="58"/>
  <c r="J18" i="58"/>
  <c r="I18" i="58"/>
  <c r="H18" i="58"/>
  <c r="G18" i="58"/>
  <c r="F18" i="58"/>
  <c r="E18" i="58"/>
  <c r="D18" i="58"/>
  <c r="C18" i="58"/>
  <c r="N17" i="58"/>
  <c r="M17" i="58"/>
  <c r="L17" i="58"/>
  <c r="K17" i="58"/>
  <c r="J17" i="58"/>
  <c r="I17" i="58"/>
  <c r="H17" i="58"/>
  <c r="G17" i="58"/>
  <c r="F17" i="58"/>
  <c r="E17" i="58"/>
  <c r="D17" i="58"/>
  <c r="C17" i="58"/>
  <c r="N16" i="58"/>
  <c r="M16" i="58"/>
  <c r="L16" i="58"/>
  <c r="K16" i="58"/>
  <c r="J16" i="58"/>
  <c r="I16" i="58"/>
  <c r="H16" i="58"/>
  <c r="G16" i="58"/>
  <c r="F16" i="58"/>
  <c r="E16" i="58"/>
  <c r="D16" i="58"/>
  <c r="C16" i="58"/>
  <c r="N15" i="58"/>
  <c r="M15" i="58"/>
  <c r="L15" i="58"/>
  <c r="K15" i="58"/>
  <c r="J15" i="58"/>
  <c r="I15" i="58"/>
  <c r="H15" i="58"/>
  <c r="G15" i="58"/>
  <c r="F15" i="58"/>
  <c r="E15" i="58"/>
  <c r="D15" i="58"/>
  <c r="C15" i="58"/>
  <c r="N14" i="58"/>
  <c r="M14" i="58"/>
  <c r="L14" i="58"/>
  <c r="K14" i="58"/>
  <c r="J14" i="58"/>
  <c r="I14" i="58"/>
  <c r="H14" i="58"/>
  <c r="G14" i="58"/>
  <c r="F14" i="58"/>
  <c r="E14" i="58"/>
  <c r="D14" i="58"/>
  <c r="C14" i="58"/>
  <c r="N13" i="58"/>
  <c r="M13" i="58"/>
  <c r="L13" i="58"/>
  <c r="K13" i="58"/>
  <c r="J13" i="58"/>
  <c r="I13" i="58"/>
  <c r="H13" i="58"/>
  <c r="G13" i="58"/>
  <c r="F13" i="58"/>
  <c r="E13" i="58"/>
  <c r="D13" i="58"/>
  <c r="C13" i="58"/>
  <c r="N12" i="58"/>
  <c r="M12" i="58"/>
  <c r="L12" i="58"/>
  <c r="K12" i="58"/>
  <c r="J12" i="58"/>
  <c r="I12" i="58"/>
  <c r="H12" i="58"/>
  <c r="G12" i="58"/>
  <c r="F12" i="58"/>
  <c r="E12" i="58"/>
  <c r="D12" i="58"/>
  <c r="C12" i="58"/>
  <c r="N11" i="58"/>
  <c r="M11" i="58"/>
  <c r="L11" i="58"/>
  <c r="K11" i="58"/>
  <c r="J11" i="58"/>
  <c r="I11" i="58"/>
  <c r="H11" i="58"/>
  <c r="G11" i="58"/>
  <c r="F11" i="58"/>
  <c r="E11" i="58"/>
  <c r="D11" i="58"/>
  <c r="C11" i="58"/>
  <c r="N10" i="58"/>
  <c r="M10" i="58"/>
  <c r="L10" i="58"/>
  <c r="K10" i="58"/>
  <c r="J10" i="58"/>
  <c r="I10" i="58"/>
  <c r="H10" i="58"/>
  <c r="G10" i="58"/>
  <c r="F10" i="58"/>
  <c r="E10" i="58"/>
  <c r="D10" i="58"/>
  <c r="C10" i="58"/>
  <c r="N9" i="58"/>
  <c r="M9" i="58"/>
  <c r="L9" i="58"/>
  <c r="K9" i="58"/>
  <c r="J9" i="58"/>
  <c r="I9" i="58"/>
  <c r="H9" i="58"/>
  <c r="G9" i="58"/>
  <c r="F9" i="58"/>
  <c r="E9" i="58"/>
  <c r="D9" i="58"/>
  <c r="C9" i="58"/>
  <c r="N8" i="58"/>
  <c r="M8" i="58"/>
  <c r="L8" i="58"/>
  <c r="K8" i="58"/>
  <c r="J8" i="58"/>
  <c r="I8" i="58"/>
  <c r="H8" i="58"/>
  <c r="G8" i="58"/>
  <c r="F8" i="58"/>
  <c r="E8" i="58"/>
  <c r="D8" i="58"/>
  <c r="C8" i="58"/>
  <c r="N7" i="58"/>
  <c r="M7" i="58"/>
  <c r="L7" i="58"/>
  <c r="K7" i="58"/>
  <c r="J7" i="58"/>
  <c r="I7" i="58"/>
  <c r="H7" i="58"/>
  <c r="G7" i="58"/>
  <c r="F7" i="58"/>
  <c r="E7" i="58"/>
  <c r="D7" i="58"/>
  <c r="C7" i="58"/>
  <c r="N6" i="58"/>
  <c r="M6" i="58"/>
  <c r="L6" i="58"/>
  <c r="K6" i="58"/>
  <c r="J6" i="58"/>
  <c r="I6" i="58"/>
  <c r="H6" i="58"/>
  <c r="G6" i="58"/>
  <c r="F6" i="58"/>
  <c r="E6" i="58"/>
  <c r="D6" i="58"/>
  <c r="C6" i="58"/>
  <c r="N5" i="58"/>
  <c r="M5" i="58"/>
  <c r="L5" i="58"/>
  <c r="K5" i="58"/>
  <c r="J5" i="58"/>
  <c r="I5" i="58"/>
  <c r="H5" i="58"/>
  <c r="G5" i="58"/>
  <c r="F5" i="58"/>
  <c r="E5" i="58"/>
  <c r="D5" i="58"/>
  <c r="C5" i="58"/>
  <c r="N4" i="58"/>
  <c r="M4" i="58"/>
  <c r="L4" i="58"/>
  <c r="L24" i="58" s="1"/>
  <c r="K4" i="58"/>
  <c r="K24" i="58" s="1"/>
  <c r="J4" i="58"/>
  <c r="I4" i="58"/>
  <c r="H4" i="58"/>
  <c r="H24" i="58" s="1"/>
  <c r="G4" i="58"/>
  <c r="F4" i="58"/>
  <c r="E4" i="58"/>
  <c r="D4" i="58"/>
  <c r="D24" i="58" s="1"/>
  <c r="C4" i="58"/>
  <c r="B24" i="57"/>
  <c r="B24" i="56"/>
  <c r="O4" i="58" l="1"/>
  <c r="O11" i="58"/>
  <c r="O12" i="58"/>
  <c r="O15" i="58"/>
  <c r="O16" i="58"/>
  <c r="O17" i="58"/>
  <c r="O19" i="58"/>
  <c r="O21" i="58"/>
  <c r="O7" i="58"/>
  <c r="O8" i="58"/>
  <c r="O9" i="58"/>
  <c r="O20" i="58"/>
  <c r="O23" i="58"/>
  <c r="I4" i="63"/>
  <c r="I24" i="63" s="1"/>
  <c r="E27" i="59"/>
  <c r="M27" i="59"/>
  <c r="C24" i="58"/>
  <c r="I24" i="60"/>
  <c r="C25" i="59"/>
  <c r="C27" i="59" s="1"/>
  <c r="G25" i="59"/>
  <c r="G27" i="59" s="1"/>
  <c r="K25" i="59"/>
  <c r="K27" i="59" s="1"/>
  <c r="O8" i="59"/>
  <c r="O9" i="59"/>
  <c r="O10" i="59"/>
  <c r="O11" i="59"/>
  <c r="O12" i="59"/>
  <c r="O13" i="59"/>
  <c r="O14" i="59"/>
  <c r="O15" i="59"/>
  <c r="O16" i="59"/>
  <c r="O19" i="59"/>
  <c r="O20" i="59"/>
  <c r="O22" i="59"/>
  <c r="O23" i="59"/>
  <c r="O24" i="59"/>
  <c r="E24" i="58"/>
  <c r="I24" i="58"/>
  <c r="H25" i="59"/>
  <c r="H27" i="59" s="1"/>
  <c r="L25" i="59"/>
  <c r="L27" i="59" s="1"/>
  <c r="C24" i="60"/>
  <c r="O6" i="60"/>
  <c r="G24" i="60"/>
  <c r="K24" i="60"/>
  <c r="O7" i="60"/>
  <c r="O9" i="60"/>
  <c r="O11" i="60"/>
  <c r="O12" i="60"/>
  <c r="O13" i="60"/>
  <c r="O14" i="60"/>
  <c r="O15" i="60"/>
  <c r="O17" i="60"/>
  <c r="O19" i="60"/>
  <c r="O21" i="60"/>
  <c r="O22" i="60"/>
  <c r="F24" i="58"/>
  <c r="J24" i="58"/>
  <c r="N24" i="58"/>
  <c r="D24" i="60"/>
  <c r="N5" i="61"/>
  <c r="J24" i="61"/>
  <c r="N7" i="61"/>
  <c r="B24" i="61"/>
  <c r="N11" i="61"/>
  <c r="N12" i="61"/>
  <c r="N13" i="61"/>
  <c r="N16" i="61"/>
  <c r="N17" i="61"/>
  <c r="N18" i="61"/>
  <c r="N19" i="61"/>
  <c r="N21" i="61"/>
  <c r="N23" i="61"/>
  <c r="D4" i="63"/>
  <c r="D24" i="63" s="1"/>
  <c r="B24" i="63"/>
  <c r="N4" i="63"/>
  <c r="N24" i="63" s="1"/>
  <c r="M4" i="63"/>
  <c r="M24" i="63" s="1"/>
  <c r="H4" i="63"/>
  <c r="H24" i="63" s="1"/>
  <c r="C4" i="63"/>
  <c r="C24" i="63" s="1"/>
  <c r="K4" i="63"/>
  <c r="K24" i="63" s="1"/>
  <c r="E4" i="63"/>
  <c r="E24" i="63" s="1"/>
  <c r="L4" i="63"/>
  <c r="L24" i="63" s="1"/>
  <c r="O26" i="59"/>
  <c r="O5" i="58"/>
  <c r="O6" i="59"/>
  <c r="N8" i="61"/>
  <c r="O6" i="58"/>
  <c r="O13" i="58"/>
  <c r="O14" i="58"/>
  <c r="O7" i="59"/>
  <c r="O21" i="59"/>
  <c r="H24" i="60"/>
  <c r="O23" i="60"/>
  <c r="N9" i="61"/>
  <c r="N10" i="61"/>
  <c r="N20" i="61"/>
  <c r="O9" i="63"/>
  <c r="M24" i="58"/>
  <c r="O22" i="58"/>
  <c r="I25" i="59"/>
  <c r="I27" i="59" s="1"/>
  <c r="E24" i="60"/>
  <c r="M24" i="60"/>
  <c r="O8" i="60"/>
  <c r="O16" i="60"/>
  <c r="I24" i="61"/>
  <c r="G24" i="63"/>
  <c r="G24" i="58"/>
  <c r="O10" i="58"/>
  <c r="F25" i="59"/>
  <c r="F27" i="59" s="1"/>
  <c r="J25" i="59"/>
  <c r="J27" i="59" s="1"/>
  <c r="N25" i="59"/>
  <c r="N27" i="59" s="1"/>
  <c r="O18" i="59"/>
  <c r="F24" i="60"/>
  <c r="J24" i="60"/>
  <c r="N24" i="60"/>
  <c r="O10" i="60"/>
  <c r="O18" i="60"/>
  <c r="N4" i="61"/>
  <c r="F24" i="61"/>
  <c r="N15" i="61"/>
  <c r="N14" i="61"/>
  <c r="O10" i="63"/>
  <c r="O11" i="63"/>
  <c r="O18" i="63"/>
  <c r="O19" i="63"/>
  <c r="O18" i="58"/>
  <c r="O17" i="59"/>
  <c r="O4" i="60"/>
  <c r="O5" i="60"/>
  <c r="O20" i="60"/>
  <c r="D24" i="61"/>
  <c r="H24" i="61"/>
  <c r="L24" i="61"/>
  <c r="N6" i="61"/>
  <c r="N22" i="61"/>
  <c r="F4" i="63"/>
  <c r="F24" i="63" s="1"/>
  <c r="J4" i="63"/>
  <c r="J24" i="63" s="1"/>
  <c r="N24" i="61" l="1"/>
  <c r="O24" i="58"/>
  <c r="O4" i="63"/>
  <c r="O24" i="63"/>
  <c r="O24" i="62"/>
  <c r="O24" i="60"/>
  <c r="K55" i="18" l="1"/>
  <c r="H55" i="18"/>
  <c r="K54" i="18"/>
  <c r="H54" i="18"/>
  <c r="K53" i="18"/>
  <c r="H53" i="18"/>
  <c r="K52" i="18"/>
  <c r="H52" i="18"/>
  <c r="K51" i="18"/>
  <c r="H51" i="18"/>
  <c r="K50" i="18"/>
  <c r="H50" i="18"/>
  <c r="K49" i="18"/>
  <c r="H49" i="18"/>
  <c r="K48" i="18"/>
  <c r="H48" i="18"/>
  <c r="K47" i="18"/>
  <c r="H47" i="18"/>
  <c r="K46" i="18"/>
  <c r="H46" i="18"/>
  <c r="K45" i="18"/>
  <c r="H45" i="18"/>
  <c r="K44" i="18"/>
  <c r="H44" i="18"/>
  <c r="K43" i="18"/>
  <c r="H43" i="18"/>
  <c r="K42" i="18"/>
  <c r="H42" i="18"/>
  <c r="K41" i="18"/>
  <c r="H41" i="18"/>
  <c r="K40" i="18"/>
  <c r="H40" i="18"/>
  <c r="K39" i="18"/>
  <c r="H39" i="18"/>
  <c r="K38" i="18"/>
  <c r="H38" i="18"/>
  <c r="K37" i="18"/>
  <c r="H37" i="18"/>
  <c r="K36" i="18"/>
  <c r="H36" i="18"/>
  <c r="C9" i="7" l="1"/>
  <c r="C10" i="7"/>
  <c r="C11" i="7"/>
  <c r="C12" i="7"/>
  <c r="C13" i="7"/>
  <c r="C14" i="7"/>
  <c r="C15" i="7"/>
  <c r="C16" i="7"/>
  <c r="C17" i="7"/>
  <c r="C18" i="7"/>
  <c r="C19" i="7"/>
  <c r="C20" i="7"/>
  <c r="C21" i="7"/>
  <c r="C22" i="7"/>
  <c r="C23" i="7"/>
  <c r="C24" i="7"/>
  <c r="C25" i="7"/>
  <c r="C26" i="7"/>
  <c r="C27" i="7"/>
  <c r="C8" i="7"/>
  <c r="G8" i="8" l="1"/>
  <c r="G9" i="8"/>
  <c r="G10" i="8"/>
  <c r="G11" i="8"/>
  <c r="G12" i="8"/>
  <c r="G13" i="8"/>
  <c r="G14" i="8"/>
  <c r="G15" i="8"/>
  <c r="G16" i="8"/>
  <c r="G17" i="8"/>
  <c r="G18" i="8"/>
  <c r="G19" i="8"/>
  <c r="G20" i="8"/>
  <c r="G21" i="8"/>
  <c r="G22" i="8"/>
  <c r="G23" i="8"/>
  <c r="G24" i="8"/>
  <c r="G25" i="8"/>
  <c r="G26" i="8"/>
  <c r="G7" i="8"/>
  <c r="K39" i="15"/>
  <c r="N27" i="52" l="1"/>
  <c r="N31" i="51" s="1"/>
  <c r="N32" i="51" s="1"/>
  <c r="M27" i="52"/>
  <c r="M31" i="51" s="1"/>
  <c r="M32" i="51" s="1"/>
  <c r="L27" i="52"/>
  <c r="L31" i="51" s="1"/>
  <c r="L32" i="51" s="1"/>
  <c r="K27" i="52"/>
  <c r="K31" i="51" s="1"/>
  <c r="K32" i="51" s="1"/>
  <c r="J27" i="52"/>
  <c r="J31" i="51" s="1"/>
  <c r="J32" i="51" s="1"/>
  <c r="I27" i="52"/>
  <c r="I31" i="51" s="1"/>
  <c r="I32" i="51" s="1"/>
  <c r="H27" i="52"/>
  <c r="H31" i="51" s="1"/>
  <c r="H32" i="51" s="1"/>
  <c r="G27" i="52"/>
  <c r="G31" i="51" s="1"/>
  <c r="G32" i="51" s="1"/>
  <c r="F27" i="52"/>
  <c r="F31" i="51" s="1"/>
  <c r="F32" i="51" s="1"/>
  <c r="E27" i="52"/>
  <c r="E31" i="51" s="1"/>
  <c r="E32" i="51" s="1"/>
  <c r="D27" i="52"/>
  <c r="D31" i="51" s="1"/>
  <c r="D32" i="51" s="1"/>
  <c r="C27" i="52"/>
  <c r="C31" i="51" s="1"/>
  <c r="B27" i="52"/>
  <c r="O26" i="52"/>
  <c r="O25" i="52"/>
  <c r="O24" i="52"/>
  <c r="O23" i="52"/>
  <c r="O22" i="52"/>
  <c r="O21" i="52"/>
  <c r="O20" i="52"/>
  <c r="O19" i="52"/>
  <c r="O18" i="52"/>
  <c r="O17" i="52"/>
  <c r="O16" i="52"/>
  <c r="O15" i="52"/>
  <c r="O14" i="52"/>
  <c r="O13" i="52"/>
  <c r="O12" i="52"/>
  <c r="O11" i="52"/>
  <c r="O10" i="52"/>
  <c r="O9" i="52"/>
  <c r="O8" i="52"/>
  <c r="O7" i="52"/>
  <c r="C32" i="51"/>
  <c r="B24" i="50"/>
  <c r="N27" i="49"/>
  <c r="N30" i="48" s="1"/>
  <c r="N31" i="48" s="1"/>
  <c r="M27" i="49"/>
  <c r="M30" i="48" s="1"/>
  <c r="M31" i="48" s="1"/>
  <c r="L27" i="49"/>
  <c r="L30" i="48" s="1"/>
  <c r="L31" i="48" s="1"/>
  <c r="K27" i="49"/>
  <c r="K30" i="48" s="1"/>
  <c r="K31" i="48" s="1"/>
  <c r="J27" i="49"/>
  <c r="J30" i="48" s="1"/>
  <c r="J31" i="48" s="1"/>
  <c r="I27" i="49"/>
  <c r="I30" i="48" s="1"/>
  <c r="I31" i="48" s="1"/>
  <c r="H27" i="49"/>
  <c r="H30" i="48" s="1"/>
  <c r="H31" i="48" s="1"/>
  <c r="G27" i="49"/>
  <c r="G30" i="48" s="1"/>
  <c r="G31" i="48" s="1"/>
  <c r="F27" i="49"/>
  <c r="F30" i="48" s="1"/>
  <c r="F31" i="48" s="1"/>
  <c r="E27" i="49"/>
  <c r="E30" i="48" s="1"/>
  <c r="E31" i="48" s="1"/>
  <c r="D27" i="49"/>
  <c r="D30" i="48" s="1"/>
  <c r="D31" i="48" s="1"/>
  <c r="C27" i="49"/>
  <c r="O27" i="49" s="1"/>
  <c r="B27" i="49"/>
  <c r="O26" i="49"/>
  <c r="O25" i="49"/>
  <c r="O24" i="49"/>
  <c r="O23" i="49"/>
  <c r="O22" i="49"/>
  <c r="O21" i="49"/>
  <c r="O20" i="49"/>
  <c r="O19" i="49"/>
  <c r="O18" i="49"/>
  <c r="O17" i="49"/>
  <c r="O16" i="49"/>
  <c r="O15" i="49"/>
  <c r="O14" i="49"/>
  <c r="O13" i="49"/>
  <c r="O12" i="49"/>
  <c r="O11" i="49"/>
  <c r="O10" i="49"/>
  <c r="O9" i="49"/>
  <c r="O8" i="49"/>
  <c r="O7" i="49"/>
  <c r="C31" i="48"/>
  <c r="K26" i="47"/>
  <c r="J24" i="47"/>
  <c r="D23" i="47"/>
  <c r="L21" i="47"/>
  <c r="J19" i="47"/>
  <c r="N18" i="47"/>
  <c r="M16" i="47"/>
  <c r="K15" i="47"/>
  <c r="M14" i="47"/>
  <c r="K11" i="47"/>
  <c r="M10" i="47"/>
  <c r="K9" i="47"/>
  <c r="M8" i="47"/>
  <c r="K7" i="47"/>
  <c r="B24" i="46"/>
  <c r="N28" i="45"/>
  <c r="M28" i="45"/>
  <c r="L28" i="45"/>
  <c r="K28" i="45"/>
  <c r="J28" i="45"/>
  <c r="I28" i="45"/>
  <c r="H28" i="45"/>
  <c r="G28" i="45"/>
  <c r="F28" i="45"/>
  <c r="E28" i="45"/>
  <c r="D28" i="45"/>
  <c r="C28" i="45"/>
  <c r="B27" i="45"/>
  <c r="O26" i="45"/>
  <c r="O25" i="45"/>
  <c r="O24" i="45"/>
  <c r="O23" i="45"/>
  <c r="O22" i="45"/>
  <c r="O21" i="45"/>
  <c r="O20" i="45"/>
  <c r="O19" i="45"/>
  <c r="O18" i="45"/>
  <c r="O17" i="45"/>
  <c r="O16" i="45"/>
  <c r="O15" i="45"/>
  <c r="O14" i="45"/>
  <c r="O13" i="45"/>
  <c r="O12" i="45"/>
  <c r="O11" i="45"/>
  <c r="O10" i="45"/>
  <c r="O9" i="45"/>
  <c r="O8" i="45"/>
  <c r="N28" i="44"/>
  <c r="M28" i="44"/>
  <c r="L28" i="44"/>
  <c r="K28" i="44"/>
  <c r="J28" i="44"/>
  <c r="I28" i="44"/>
  <c r="H28" i="44"/>
  <c r="G28" i="44"/>
  <c r="F28" i="44"/>
  <c r="E28" i="44"/>
  <c r="D28" i="44"/>
  <c r="C28" i="44"/>
  <c r="B27" i="44"/>
  <c r="N25" i="43"/>
  <c r="M25" i="43"/>
  <c r="L25" i="43"/>
  <c r="K25" i="43"/>
  <c r="J25" i="43"/>
  <c r="I25" i="43"/>
  <c r="H25" i="43"/>
  <c r="G25" i="43"/>
  <c r="F25" i="43"/>
  <c r="E25" i="43"/>
  <c r="D25" i="43"/>
  <c r="C25" i="43"/>
  <c r="B24" i="43"/>
  <c r="K31" i="42"/>
  <c r="G31" i="42"/>
  <c r="C31" i="42"/>
  <c r="O30" i="42"/>
  <c r="N31" i="42"/>
  <c r="M31" i="42"/>
  <c r="L31" i="42"/>
  <c r="J31" i="42"/>
  <c r="I31" i="42"/>
  <c r="H31" i="42"/>
  <c r="F31" i="42"/>
  <c r="E31" i="42"/>
  <c r="D31" i="42"/>
  <c r="B27" i="42"/>
  <c r="O26" i="42"/>
  <c r="O25" i="42"/>
  <c r="O24" i="42"/>
  <c r="O23" i="42"/>
  <c r="O22" i="42"/>
  <c r="O21" i="42"/>
  <c r="O20" i="42"/>
  <c r="O19" i="42"/>
  <c r="O18" i="42"/>
  <c r="O17" i="42"/>
  <c r="O16" i="42"/>
  <c r="O15" i="42"/>
  <c r="O14" i="42"/>
  <c r="O13" i="42"/>
  <c r="O12" i="42"/>
  <c r="O11" i="42"/>
  <c r="O10" i="42"/>
  <c r="O9" i="42"/>
  <c r="O8" i="42"/>
  <c r="O7" i="42"/>
  <c r="B24" i="40"/>
  <c r="L32" i="38"/>
  <c r="K32" i="38"/>
  <c r="D32" i="38"/>
  <c r="C32" i="38"/>
  <c r="O33" i="39"/>
  <c r="N27" i="39"/>
  <c r="N32" i="38" s="1"/>
  <c r="M27" i="39"/>
  <c r="M32" i="38" s="1"/>
  <c r="L27" i="39"/>
  <c r="K27" i="39"/>
  <c r="J27" i="39"/>
  <c r="J32" i="38" s="1"/>
  <c r="I27" i="39"/>
  <c r="I32" i="38" s="1"/>
  <c r="H27" i="39"/>
  <c r="G27" i="39"/>
  <c r="F27" i="39"/>
  <c r="F32" i="38" s="1"/>
  <c r="E27" i="39"/>
  <c r="E32" i="38" s="1"/>
  <c r="D27" i="39"/>
  <c r="C27" i="39"/>
  <c r="B27" i="39"/>
  <c r="O26" i="39"/>
  <c r="O25" i="39"/>
  <c r="O24" i="39"/>
  <c r="O23" i="39"/>
  <c r="O22" i="39"/>
  <c r="O21" i="39"/>
  <c r="O20" i="39"/>
  <c r="O19" i="39"/>
  <c r="O18" i="39"/>
  <c r="O17" i="39"/>
  <c r="O16" i="39"/>
  <c r="O15" i="39"/>
  <c r="O14" i="39"/>
  <c r="O13" i="39"/>
  <c r="O12" i="39"/>
  <c r="O11" i="39"/>
  <c r="O10" i="39"/>
  <c r="O9" i="39"/>
  <c r="O8" i="39"/>
  <c r="O7" i="39"/>
  <c r="H32" i="38"/>
  <c r="G32" i="38"/>
  <c r="N31" i="36"/>
  <c r="N27" i="35" s="1"/>
  <c r="J31" i="36"/>
  <c r="J27" i="35" s="1"/>
  <c r="H31" i="36"/>
  <c r="H27" i="35" s="1"/>
  <c r="O27" i="36"/>
  <c r="B27" i="36"/>
  <c r="O26" i="36"/>
  <c r="O25" i="36"/>
  <c r="O24" i="36"/>
  <c r="O23" i="36"/>
  <c r="O22" i="36"/>
  <c r="O21" i="36"/>
  <c r="O20" i="36"/>
  <c r="O19" i="36"/>
  <c r="O18" i="36"/>
  <c r="O17" i="36"/>
  <c r="O16" i="36"/>
  <c r="O15" i="36"/>
  <c r="O14" i="36"/>
  <c r="O13" i="36"/>
  <c r="O12" i="36"/>
  <c r="O11" i="36"/>
  <c r="O10" i="36"/>
  <c r="O9" i="36"/>
  <c r="O8" i="36"/>
  <c r="O7" i="36"/>
  <c r="O32" i="32"/>
  <c r="N26" i="32"/>
  <c r="M26" i="32"/>
  <c r="L26" i="32"/>
  <c r="K26" i="32"/>
  <c r="J26" i="32"/>
  <c r="I26" i="32"/>
  <c r="H26" i="32"/>
  <c r="G26" i="32"/>
  <c r="F26" i="32"/>
  <c r="E26" i="32"/>
  <c r="D26" i="32"/>
  <c r="C26" i="32"/>
  <c r="N25" i="32"/>
  <c r="M25" i="32"/>
  <c r="L25" i="32"/>
  <c r="K25" i="32"/>
  <c r="J25" i="32"/>
  <c r="I25" i="32"/>
  <c r="H25" i="32"/>
  <c r="G25" i="32"/>
  <c r="F25" i="32"/>
  <c r="E25" i="32"/>
  <c r="D25" i="32"/>
  <c r="C25" i="32"/>
  <c r="N24" i="32"/>
  <c r="M24" i="32"/>
  <c r="L24" i="32"/>
  <c r="K24" i="32"/>
  <c r="J24" i="32"/>
  <c r="I24" i="32"/>
  <c r="H24" i="32"/>
  <c r="G24" i="32"/>
  <c r="F24" i="32"/>
  <c r="E24" i="32"/>
  <c r="D24" i="32"/>
  <c r="C24" i="32"/>
  <c r="N23" i="32"/>
  <c r="M23" i="32"/>
  <c r="L23" i="32"/>
  <c r="K23" i="32"/>
  <c r="J23" i="32"/>
  <c r="I23" i="32"/>
  <c r="H23" i="32"/>
  <c r="G23" i="32"/>
  <c r="F23" i="32"/>
  <c r="E23" i="32"/>
  <c r="D23" i="32"/>
  <c r="C23" i="32"/>
  <c r="N22" i="32"/>
  <c r="M22" i="32"/>
  <c r="L22" i="32"/>
  <c r="K22" i="32"/>
  <c r="J22" i="32"/>
  <c r="I22" i="32"/>
  <c r="H22" i="32"/>
  <c r="G22" i="32"/>
  <c r="F22" i="32"/>
  <c r="E22" i="32"/>
  <c r="D22" i="32"/>
  <c r="C22" i="32"/>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B7" i="32"/>
  <c r="M7" i="32" s="1"/>
  <c r="M27" i="32" s="1"/>
  <c r="F29" i="45" l="1"/>
  <c r="J29" i="45"/>
  <c r="N29" i="45"/>
  <c r="O22" i="32"/>
  <c r="O23" i="32"/>
  <c r="O24" i="32"/>
  <c r="O25" i="32"/>
  <c r="O26" i="32"/>
  <c r="E31" i="36"/>
  <c r="E27" i="35" s="1"/>
  <c r="I31" i="36"/>
  <c r="I27" i="35" s="1"/>
  <c r="M31" i="36"/>
  <c r="M27" i="35" s="1"/>
  <c r="H29" i="45"/>
  <c r="L29" i="45"/>
  <c r="E32" i="48"/>
  <c r="E33" i="48"/>
  <c r="I33" i="48"/>
  <c r="I32" i="48"/>
  <c r="M32" i="48"/>
  <c r="M33" i="48"/>
  <c r="F31" i="36"/>
  <c r="F27" i="35" s="1"/>
  <c r="E29" i="45"/>
  <c r="I29" i="45"/>
  <c r="M29" i="45"/>
  <c r="F32" i="48"/>
  <c r="F33" i="48"/>
  <c r="J32" i="48"/>
  <c r="J33" i="48"/>
  <c r="N32" i="48"/>
  <c r="N33" i="48"/>
  <c r="G32" i="48"/>
  <c r="G33" i="48"/>
  <c r="K33" i="48"/>
  <c r="K32" i="48"/>
  <c r="D31" i="36"/>
  <c r="D27" i="35" s="1"/>
  <c r="L31" i="36"/>
  <c r="L27" i="35" s="1"/>
  <c r="G29" i="45"/>
  <c r="K29" i="45"/>
  <c r="D32" i="48"/>
  <c r="D33" i="48"/>
  <c r="H32" i="48"/>
  <c r="H33" i="48"/>
  <c r="L32" i="48"/>
  <c r="L33" i="48"/>
  <c r="F29" i="44"/>
  <c r="F24" i="43"/>
  <c r="F26" i="43" s="1"/>
  <c r="O9" i="44"/>
  <c r="O11" i="44"/>
  <c r="O13" i="44"/>
  <c r="O14" i="44"/>
  <c r="O15" i="44"/>
  <c r="O17" i="44"/>
  <c r="O21" i="44"/>
  <c r="O22" i="44"/>
  <c r="O23" i="44"/>
  <c r="O25" i="44"/>
  <c r="D29" i="44"/>
  <c r="H29" i="44"/>
  <c r="L29" i="44"/>
  <c r="H24" i="43"/>
  <c r="H26" i="43" s="1"/>
  <c r="L24" i="43"/>
  <c r="L26" i="43" s="1"/>
  <c r="O18" i="43"/>
  <c r="O19" i="43"/>
  <c r="O22" i="43"/>
  <c r="O14" i="43"/>
  <c r="O20" i="43"/>
  <c r="O6" i="43"/>
  <c r="O8" i="43"/>
  <c r="O10" i="43"/>
  <c r="O11" i="43"/>
  <c r="C29" i="45"/>
  <c r="G7" i="32"/>
  <c r="G27" i="32" s="1"/>
  <c r="K7" i="32"/>
  <c r="K27" i="32" s="1"/>
  <c r="G16" i="47"/>
  <c r="J18" i="47"/>
  <c r="C7" i="32"/>
  <c r="C27" i="32" s="1"/>
  <c r="I15" i="47"/>
  <c r="E19" i="47"/>
  <c r="B27" i="32"/>
  <c r="E7" i="47"/>
  <c r="E9" i="47"/>
  <c r="E11" i="47"/>
  <c r="E15" i="47"/>
  <c r="H18" i="47"/>
  <c r="L19" i="47"/>
  <c r="F21" i="47"/>
  <c r="I23" i="47"/>
  <c r="K24" i="47"/>
  <c r="D26" i="47"/>
  <c r="I7" i="47"/>
  <c r="G8" i="47"/>
  <c r="I9" i="47"/>
  <c r="G10" i="47"/>
  <c r="I11" i="47"/>
  <c r="G14" i="47"/>
  <c r="I21" i="47"/>
  <c r="N23" i="47"/>
  <c r="J26" i="47"/>
  <c r="M7" i="47"/>
  <c r="K8" i="47"/>
  <c r="M9" i="47"/>
  <c r="K10" i="47"/>
  <c r="M11" i="47"/>
  <c r="K14" i="47"/>
  <c r="M15" i="47"/>
  <c r="K16" i="47"/>
  <c r="D18" i="47"/>
  <c r="K18" i="47"/>
  <c r="F19" i="47"/>
  <c r="D21" i="47"/>
  <c r="J21" i="47"/>
  <c r="F18" i="47"/>
  <c r="E21" i="47"/>
  <c r="N21" i="47"/>
  <c r="F24" i="47"/>
  <c r="N24" i="43"/>
  <c r="N26" i="43" s="1"/>
  <c r="F7" i="32"/>
  <c r="F27" i="32" s="1"/>
  <c r="J7" i="32"/>
  <c r="J27" i="32" s="1"/>
  <c r="N7" i="32"/>
  <c r="N27" i="32" s="1"/>
  <c r="C29" i="44"/>
  <c r="G29" i="44"/>
  <c r="K29" i="44"/>
  <c r="O7" i="44"/>
  <c r="J29" i="44"/>
  <c r="K24" i="43"/>
  <c r="K26" i="43" s="1"/>
  <c r="J24" i="43"/>
  <c r="J26" i="43" s="1"/>
  <c r="N29" i="44"/>
  <c r="H7" i="32"/>
  <c r="H27" i="32" s="1"/>
  <c r="O12" i="43"/>
  <c r="O19" i="44"/>
  <c r="G24" i="43"/>
  <c r="G26" i="43" s="1"/>
  <c r="D7" i="32"/>
  <c r="D27" i="32" s="1"/>
  <c r="L7" i="32"/>
  <c r="L27" i="32" s="1"/>
  <c r="E7" i="32"/>
  <c r="E27" i="32" s="1"/>
  <c r="I7" i="32"/>
  <c r="I27" i="32" s="1"/>
  <c r="C31" i="36"/>
  <c r="C27" i="35" s="1"/>
  <c r="G31" i="36"/>
  <c r="G27" i="35" s="1"/>
  <c r="K31" i="36"/>
  <c r="K27" i="35" s="1"/>
  <c r="O30" i="36"/>
  <c r="O31" i="36" s="1"/>
  <c r="O27" i="39"/>
  <c r="O32" i="38" s="1"/>
  <c r="O16" i="43"/>
  <c r="O9" i="43"/>
  <c r="O17" i="43"/>
  <c r="O12" i="44"/>
  <c r="O20" i="44"/>
  <c r="O30" i="48"/>
  <c r="O31" i="48" s="1"/>
  <c r="O27" i="42"/>
  <c r="O31" i="42" s="1"/>
  <c r="O13" i="43"/>
  <c r="O21" i="43"/>
  <c r="O25" i="43"/>
  <c r="O8" i="44"/>
  <c r="O16" i="44"/>
  <c r="O24" i="44"/>
  <c r="O28" i="44"/>
  <c r="E24" i="43"/>
  <c r="E26" i="43" s="1"/>
  <c r="I24" i="43"/>
  <c r="I26" i="43" s="1"/>
  <c r="M24" i="43"/>
  <c r="M26" i="43" s="1"/>
  <c r="O7" i="43"/>
  <c r="O15" i="43"/>
  <c r="O23" i="43"/>
  <c r="E29" i="44"/>
  <c r="I29" i="44"/>
  <c r="M29" i="44"/>
  <c r="O10" i="44"/>
  <c r="O18" i="44"/>
  <c r="O26" i="44"/>
  <c r="O28" i="45"/>
  <c r="D7" i="47"/>
  <c r="H7" i="47"/>
  <c r="L7" i="47"/>
  <c r="F8" i="47"/>
  <c r="J8" i="47"/>
  <c r="N8" i="47"/>
  <c r="D9" i="47"/>
  <c r="H9" i="47"/>
  <c r="L9" i="47"/>
  <c r="F10" i="47"/>
  <c r="J10" i="47"/>
  <c r="N10" i="47"/>
  <c r="D11" i="47"/>
  <c r="H11" i="47"/>
  <c r="L11" i="47"/>
  <c r="F14" i="47"/>
  <c r="J14" i="47"/>
  <c r="N14" i="47"/>
  <c r="D15" i="47"/>
  <c r="H15" i="47"/>
  <c r="L15" i="47"/>
  <c r="F16" i="47"/>
  <c r="J16" i="47"/>
  <c r="N16" i="47"/>
  <c r="K23" i="47"/>
  <c r="G23" i="47"/>
  <c r="H23" i="47"/>
  <c r="M23" i="47"/>
  <c r="D24" i="47"/>
  <c r="H26" i="47"/>
  <c r="N26" i="47"/>
  <c r="C33" i="48"/>
  <c r="C32" i="48"/>
  <c r="F7" i="47"/>
  <c r="J7" i="47"/>
  <c r="N7" i="47"/>
  <c r="D8" i="47"/>
  <c r="H8" i="47"/>
  <c r="L8" i="47"/>
  <c r="F9" i="47"/>
  <c r="J9" i="47"/>
  <c r="N9" i="47"/>
  <c r="D10" i="47"/>
  <c r="H10" i="47"/>
  <c r="L10" i="47"/>
  <c r="F11" i="47"/>
  <c r="J11" i="47"/>
  <c r="N11" i="47"/>
  <c r="D14" i="47"/>
  <c r="H14" i="47"/>
  <c r="L14" i="47"/>
  <c r="F15" i="47"/>
  <c r="J15" i="47"/>
  <c r="N15" i="47"/>
  <c r="D16" i="47"/>
  <c r="H16" i="47"/>
  <c r="L16" i="47"/>
  <c r="K19" i="47"/>
  <c r="G19" i="47"/>
  <c r="H19" i="47"/>
  <c r="M19" i="47"/>
  <c r="E23" i="47"/>
  <c r="J23" i="47"/>
  <c r="M24" i="47"/>
  <c r="I24" i="47"/>
  <c r="E24" i="47"/>
  <c r="G24" i="47"/>
  <c r="L24" i="47"/>
  <c r="F26" i="47"/>
  <c r="O30" i="51"/>
  <c r="C7" i="47"/>
  <c r="G7" i="47"/>
  <c r="E8" i="47"/>
  <c r="I8" i="47"/>
  <c r="G9" i="47"/>
  <c r="E10" i="47"/>
  <c r="I10" i="47"/>
  <c r="G11" i="47"/>
  <c r="E14" i="47"/>
  <c r="I14" i="47"/>
  <c r="G15" i="47"/>
  <c r="E16" i="47"/>
  <c r="I16" i="47"/>
  <c r="M18" i="47"/>
  <c r="I18" i="47"/>
  <c r="E18" i="47"/>
  <c r="G18" i="47"/>
  <c r="L18" i="47"/>
  <c r="D19" i="47"/>
  <c r="I19" i="47"/>
  <c r="N19" i="47"/>
  <c r="K21" i="47"/>
  <c r="G21" i="47"/>
  <c r="H21" i="47"/>
  <c r="M21" i="47"/>
  <c r="F23" i="47"/>
  <c r="L23" i="47"/>
  <c r="H24" i="47"/>
  <c r="N24" i="47"/>
  <c r="M26" i="47"/>
  <c r="I26" i="47"/>
  <c r="E26" i="47"/>
  <c r="G26" i="47"/>
  <c r="L26" i="47"/>
  <c r="O31" i="51"/>
  <c r="O27" i="52"/>
  <c r="O33" i="45" l="1"/>
  <c r="O5" i="43"/>
  <c r="O16" i="47"/>
  <c r="O8" i="47"/>
  <c r="O27" i="32"/>
  <c r="O34" i="32" s="1"/>
  <c r="O26" i="47"/>
  <c r="C24" i="43"/>
  <c r="C26" i="43" s="1"/>
  <c r="O19" i="47"/>
  <c r="O18" i="47"/>
  <c r="O15" i="47"/>
  <c r="O11" i="47"/>
  <c r="O9" i="47"/>
  <c r="O7" i="47"/>
  <c r="O14" i="47"/>
  <c r="O10" i="47"/>
  <c r="O24" i="47"/>
  <c r="O32" i="51"/>
  <c r="O33" i="48"/>
  <c r="O32" i="48"/>
  <c r="O7" i="32"/>
  <c r="O27" i="44"/>
  <c r="O29" i="44" s="1"/>
  <c r="O21" i="47"/>
  <c r="O23" i="47"/>
  <c r="O24" i="33"/>
  <c r="O27" i="35"/>
  <c r="L40" i="15"/>
  <c r="K41" i="15" l="1"/>
  <c r="K46" i="15" l="1"/>
  <c r="K64" i="15" l="1"/>
  <c r="K66" i="15" s="1"/>
  <c r="K59" i="15"/>
  <c r="K54" i="15"/>
  <c r="K49" i="15"/>
  <c r="O43" i="15"/>
  <c r="K34" i="15"/>
  <c r="N27" i="21" l="1"/>
  <c r="N34" i="21" s="1"/>
  <c r="M27" i="21"/>
  <c r="M34" i="21" s="1"/>
  <c r="L27" i="21"/>
  <c r="L34" i="21" s="1"/>
  <c r="K27" i="21"/>
  <c r="K34" i="21" s="1"/>
  <c r="J27" i="21"/>
  <c r="J34" i="21" s="1"/>
  <c r="I27" i="21"/>
  <c r="I34" i="21" s="1"/>
  <c r="H27" i="21"/>
  <c r="H34" i="21" s="1"/>
  <c r="G27" i="21"/>
  <c r="G34" i="21" s="1"/>
  <c r="F27" i="21"/>
  <c r="F34" i="21" s="1"/>
  <c r="E27" i="21"/>
  <c r="E34" i="21" s="1"/>
  <c r="D27" i="21"/>
  <c r="D34" i="21" s="1"/>
  <c r="C27" i="21"/>
  <c r="C34" i="21" s="1"/>
  <c r="B27" i="21"/>
  <c r="O26" i="21"/>
  <c r="O25" i="21"/>
  <c r="O24" i="21"/>
  <c r="O23" i="21"/>
  <c r="O22" i="21"/>
  <c r="O21" i="21"/>
  <c r="O20" i="21"/>
  <c r="O19" i="21"/>
  <c r="O18" i="21"/>
  <c r="O17" i="21"/>
  <c r="O16" i="21"/>
  <c r="O15" i="21"/>
  <c r="O14" i="21"/>
  <c r="O13" i="21"/>
  <c r="O12" i="21"/>
  <c r="O11" i="21"/>
  <c r="O10" i="21"/>
  <c r="O9" i="21"/>
  <c r="O8" i="21"/>
  <c r="O7" i="21"/>
  <c r="O27" i="21" s="1"/>
  <c r="Z9" i="3" l="1"/>
  <c r="Z10" i="3"/>
  <c r="Z11" i="3"/>
  <c r="Z12" i="3"/>
  <c r="Z13" i="3"/>
  <c r="Z14" i="3"/>
  <c r="Z15" i="3"/>
  <c r="Z16" i="3"/>
  <c r="Z17" i="3"/>
  <c r="Z18" i="3"/>
  <c r="Z19" i="3"/>
  <c r="Z20" i="3"/>
  <c r="Z21" i="3"/>
  <c r="Z22" i="3"/>
  <c r="Z23" i="3"/>
  <c r="Z24" i="3"/>
  <c r="Z25" i="3"/>
  <c r="Z26" i="3"/>
  <c r="Z27" i="3"/>
  <c r="Z8" i="3"/>
  <c r="D27" i="8"/>
  <c r="D9" i="8" s="1"/>
  <c r="C28" i="4"/>
  <c r="C11" i="4" s="1"/>
  <c r="D28" i="20"/>
  <c r="D9" i="20" s="1"/>
  <c r="C28" i="20"/>
  <c r="D18" i="8" l="1"/>
  <c r="D26" i="8"/>
  <c r="D10" i="8"/>
  <c r="D22" i="8"/>
  <c r="D14" i="8"/>
  <c r="D24" i="8"/>
  <c r="D20" i="8"/>
  <c r="D16" i="8"/>
  <c r="D12" i="8"/>
  <c r="D8" i="8"/>
  <c r="D7" i="8"/>
  <c r="D23" i="8"/>
  <c r="D19" i="8"/>
  <c r="D15" i="8"/>
  <c r="D11" i="8"/>
  <c r="D25" i="8"/>
  <c r="D21" i="8"/>
  <c r="D17" i="8"/>
  <c r="D13" i="8"/>
  <c r="C18" i="4"/>
  <c r="C14" i="4"/>
  <c r="C22" i="4"/>
  <c r="C26" i="4"/>
  <c r="C10" i="4"/>
  <c r="D22" i="20"/>
  <c r="D14" i="20"/>
  <c r="D26" i="20"/>
  <c r="D10" i="20"/>
  <c r="D18" i="20"/>
  <c r="D8" i="20"/>
  <c r="D24" i="20"/>
  <c r="D20" i="20"/>
  <c r="D16" i="20"/>
  <c r="D12" i="20"/>
  <c r="D27" i="20"/>
  <c r="D23" i="20"/>
  <c r="D19" i="20"/>
  <c r="D15" i="20"/>
  <c r="D11" i="20"/>
  <c r="D25" i="20"/>
  <c r="D21" i="20"/>
  <c r="D17" i="20"/>
  <c r="D13" i="20"/>
  <c r="C25" i="4"/>
  <c r="C21" i="4"/>
  <c r="C17" i="4"/>
  <c r="C13" i="4"/>
  <c r="C9" i="4"/>
  <c r="C8" i="4"/>
  <c r="C24" i="4"/>
  <c r="C20" i="4"/>
  <c r="C16" i="4"/>
  <c r="C12" i="4"/>
  <c r="C27" i="4"/>
  <c r="C23" i="4"/>
  <c r="C19" i="4"/>
  <c r="C15" i="4"/>
  <c r="L64" i="15" l="1"/>
  <c r="M26" i="5" l="1"/>
  <c r="M23" i="5"/>
  <c r="M18" i="5"/>
  <c r="M14" i="5"/>
  <c r="M13"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C26" i="18"/>
  <c r="C24" i="18"/>
  <c r="C23" i="18"/>
  <c r="C22" i="18"/>
  <c r="C21" i="18"/>
  <c r="C20" i="18"/>
  <c r="C19" i="18"/>
  <c r="C18" i="18"/>
  <c r="C17" i="18"/>
  <c r="C16" i="18"/>
  <c r="C15" i="18"/>
  <c r="C14" i="18"/>
  <c r="C12" i="18"/>
  <c r="C11" i="18"/>
  <c r="C10" i="18"/>
  <c r="C9" i="18"/>
  <c r="C28" i="18"/>
  <c r="C13" i="18"/>
  <c r="C25" i="18" l="1"/>
  <c r="C27" i="18"/>
  <c r="K56" i="18"/>
  <c r="H56" i="18"/>
  <c r="D87" i="19"/>
  <c r="C29" i="18" l="1"/>
  <c r="E10" i="18" s="1"/>
  <c r="F10" i="18" s="1"/>
  <c r="C11" i="19"/>
  <c r="C25" i="19"/>
  <c r="C15" i="19"/>
  <c r="C23" i="19"/>
  <c r="C17" i="19"/>
  <c r="C24" i="19"/>
  <c r="C19" i="19"/>
  <c r="C13" i="19"/>
  <c r="C18" i="19"/>
  <c r="C22" i="19"/>
  <c r="C21" i="19"/>
  <c r="C12" i="19"/>
  <c r="C14" i="19"/>
  <c r="C10" i="19"/>
  <c r="C28" i="19"/>
  <c r="C27" i="19"/>
  <c r="C20" i="19"/>
  <c r="C26" i="19"/>
  <c r="E9" i="18" l="1"/>
  <c r="F9" i="18" s="1"/>
  <c r="E24" i="18"/>
  <c r="F24" i="18" s="1"/>
  <c r="E14" i="18"/>
  <c r="F14" i="18" s="1"/>
  <c r="E15" i="18"/>
  <c r="F15" i="18" s="1"/>
  <c r="E27" i="18"/>
  <c r="F27" i="18" s="1"/>
  <c r="E12" i="18"/>
  <c r="F12" i="18" s="1"/>
  <c r="E11" i="18"/>
  <c r="F11" i="18" s="1"/>
  <c r="E21" i="18"/>
  <c r="F21" i="18" s="1"/>
  <c r="E25" i="18"/>
  <c r="F25" i="18" s="1"/>
  <c r="E18" i="18"/>
  <c r="F18" i="18" s="1"/>
  <c r="E23" i="18"/>
  <c r="F23" i="18" s="1"/>
  <c r="E26" i="18"/>
  <c r="F26" i="18" s="1"/>
  <c r="E22" i="18"/>
  <c r="F22" i="18" s="1"/>
  <c r="E17" i="18"/>
  <c r="F17" i="18" s="1"/>
  <c r="E19" i="18"/>
  <c r="F19" i="18" s="1"/>
  <c r="E13" i="18"/>
  <c r="F13" i="18" s="1"/>
  <c r="E16" i="18"/>
  <c r="F16" i="18" s="1"/>
  <c r="E20" i="18"/>
  <c r="F20" i="18" s="1"/>
  <c r="E28" i="18"/>
  <c r="F28" i="18" s="1"/>
  <c r="C16" i="19"/>
  <c r="C9" i="19"/>
  <c r="C29" i="19" s="1"/>
  <c r="E29" i="18" l="1"/>
  <c r="F29" i="18"/>
  <c r="F27" i="5"/>
  <c r="F26" i="5"/>
  <c r="F25" i="5"/>
  <c r="F24" i="5"/>
  <c r="F23" i="5"/>
  <c r="F22" i="5"/>
  <c r="F21" i="5"/>
  <c r="F20" i="5"/>
  <c r="F19" i="5"/>
  <c r="F18" i="5"/>
  <c r="F17" i="5"/>
  <c r="F16" i="5"/>
  <c r="F15" i="5"/>
  <c r="F14" i="5"/>
  <c r="F13" i="5"/>
  <c r="F12" i="5"/>
  <c r="F11" i="5"/>
  <c r="F10" i="5"/>
  <c r="F9" i="5"/>
  <c r="F8" i="5"/>
  <c r="D9" i="4"/>
  <c r="D10" i="4"/>
  <c r="D11" i="4"/>
  <c r="D12" i="4"/>
  <c r="D13" i="4"/>
  <c r="D14" i="4"/>
  <c r="D15" i="4"/>
  <c r="D16" i="4"/>
  <c r="D17" i="4"/>
  <c r="D18" i="4"/>
  <c r="D19" i="4"/>
  <c r="D20" i="4"/>
  <c r="D21" i="4"/>
  <c r="D22" i="4"/>
  <c r="D23" i="4"/>
  <c r="D24" i="4"/>
  <c r="D25" i="4"/>
  <c r="D26" i="4"/>
  <c r="D27" i="4"/>
  <c r="D8" i="4"/>
  <c r="O129" i="15"/>
  <c r="N129" i="15"/>
  <c r="N135" i="15" s="1"/>
  <c r="L129" i="15"/>
  <c r="K129" i="15"/>
  <c r="H129" i="15"/>
  <c r="G129" i="15"/>
  <c r="E129" i="15"/>
  <c r="D129" i="15"/>
  <c r="F129" i="15" s="1"/>
  <c r="P128" i="15"/>
  <c r="M128" i="15"/>
  <c r="I128" i="15"/>
  <c r="F128" i="15"/>
  <c r="P127" i="15"/>
  <c r="M127" i="15"/>
  <c r="I127" i="15"/>
  <c r="F127" i="15"/>
  <c r="P126" i="15"/>
  <c r="M126" i="15"/>
  <c r="I126" i="15"/>
  <c r="F126" i="15"/>
  <c r="P125" i="15"/>
  <c r="M125" i="15"/>
  <c r="I125" i="15"/>
  <c r="F125" i="15"/>
  <c r="P124" i="15"/>
  <c r="M124" i="15"/>
  <c r="I124" i="15"/>
  <c r="F124" i="15"/>
  <c r="P123" i="15"/>
  <c r="M123" i="15"/>
  <c r="I123" i="15"/>
  <c r="F123" i="15"/>
  <c r="P122" i="15"/>
  <c r="M122" i="15"/>
  <c r="I122" i="15"/>
  <c r="F122" i="15"/>
  <c r="P121" i="15"/>
  <c r="M121" i="15"/>
  <c r="I121" i="15"/>
  <c r="F121" i="15"/>
  <c r="P120" i="15"/>
  <c r="M120" i="15"/>
  <c r="I120" i="15"/>
  <c r="F120" i="15"/>
  <c r="P119" i="15"/>
  <c r="M119" i="15"/>
  <c r="I119" i="15"/>
  <c r="F119" i="15"/>
  <c r="P118" i="15"/>
  <c r="M118" i="15"/>
  <c r="I118" i="15"/>
  <c r="F118" i="15"/>
  <c r="P117" i="15"/>
  <c r="M117" i="15"/>
  <c r="I117" i="15"/>
  <c r="F117" i="15"/>
  <c r="P116" i="15"/>
  <c r="M116" i="15"/>
  <c r="I116" i="15"/>
  <c r="F116" i="15"/>
  <c r="P115" i="15"/>
  <c r="M115" i="15"/>
  <c r="I115" i="15"/>
  <c r="F115" i="15"/>
  <c r="P114" i="15"/>
  <c r="M114" i="15"/>
  <c r="I114" i="15"/>
  <c r="F114" i="15"/>
  <c r="P113" i="15"/>
  <c r="M113" i="15"/>
  <c r="I113" i="15"/>
  <c r="F113" i="15"/>
  <c r="P112" i="15"/>
  <c r="M112" i="15"/>
  <c r="I112" i="15"/>
  <c r="F112" i="15"/>
  <c r="P111" i="15"/>
  <c r="M111" i="15"/>
  <c r="I111" i="15"/>
  <c r="F111" i="15"/>
  <c r="P110" i="15"/>
  <c r="M110" i="15"/>
  <c r="I110" i="15"/>
  <c r="F110" i="15"/>
  <c r="P109" i="15"/>
  <c r="M109" i="15"/>
  <c r="I109" i="15"/>
  <c r="F109" i="15"/>
  <c r="K61" i="15"/>
  <c r="L61" i="15" s="1"/>
  <c r="L60" i="15"/>
  <c r="L59" i="15"/>
  <c r="K56" i="15"/>
  <c r="L55" i="15"/>
  <c r="L54" i="15"/>
  <c r="K51" i="15"/>
  <c r="F28" i="20" s="1"/>
  <c r="F27" i="20" s="1"/>
  <c r="L50" i="15"/>
  <c r="L49" i="15"/>
  <c r="K36" i="15"/>
  <c r="L35" i="15"/>
  <c r="L34" i="15"/>
  <c r="K24" i="15"/>
  <c r="I13" i="15"/>
  <c r="K11" i="15"/>
  <c r="L56" i="15" l="1"/>
  <c r="E28" i="7"/>
  <c r="R109" i="15"/>
  <c r="R111" i="15"/>
  <c r="R117" i="15"/>
  <c r="R119" i="15"/>
  <c r="R125" i="15"/>
  <c r="R127" i="15"/>
  <c r="J110" i="15"/>
  <c r="J113" i="15"/>
  <c r="J115" i="15"/>
  <c r="J117" i="15"/>
  <c r="J120" i="15"/>
  <c r="J122" i="15"/>
  <c r="J124" i="15"/>
  <c r="J125" i="15"/>
  <c r="J127" i="15"/>
  <c r="I129" i="15"/>
  <c r="J109" i="15"/>
  <c r="J111" i="15"/>
  <c r="J112" i="15"/>
  <c r="J114" i="15"/>
  <c r="J116" i="15"/>
  <c r="J118" i="15"/>
  <c r="J119" i="15"/>
  <c r="J121" i="15"/>
  <c r="J123" i="15"/>
  <c r="J126" i="15"/>
  <c r="J128" i="15"/>
  <c r="R112" i="15"/>
  <c r="R113" i="15"/>
  <c r="R123" i="15"/>
  <c r="F9" i="20"/>
  <c r="F14" i="20"/>
  <c r="F11" i="20"/>
  <c r="F15" i="20"/>
  <c r="F19" i="20"/>
  <c r="F23" i="20"/>
  <c r="F12" i="20"/>
  <c r="F16" i="20"/>
  <c r="F20" i="20"/>
  <c r="F24" i="20"/>
  <c r="F13" i="20"/>
  <c r="F17" i="20"/>
  <c r="F21" i="20"/>
  <c r="F25" i="20"/>
  <c r="F8" i="20"/>
  <c r="F18" i="20"/>
  <c r="F22" i="20"/>
  <c r="F26" i="20"/>
  <c r="F10" i="20"/>
  <c r="R128" i="15"/>
  <c r="R118" i="15"/>
  <c r="R116" i="15"/>
  <c r="R124" i="15"/>
  <c r="R122" i="15"/>
  <c r="R121" i="15"/>
  <c r="R120" i="15"/>
  <c r="R115" i="15"/>
  <c r="R114" i="15"/>
  <c r="P129" i="15"/>
  <c r="R110" i="15"/>
  <c r="R126" i="15"/>
  <c r="M129" i="15"/>
  <c r="L36" i="15"/>
  <c r="J27" i="8"/>
  <c r="L51" i="15"/>
  <c r="I12" i="15"/>
  <c r="I19" i="15" s="1"/>
  <c r="K31" i="15"/>
  <c r="K25" i="15"/>
  <c r="K26" i="15" s="1"/>
  <c r="K27" i="15" l="1"/>
  <c r="K28" i="15"/>
  <c r="R129" i="15"/>
  <c r="K29" i="15"/>
  <c r="K30" i="15" s="1"/>
  <c r="I15" i="15"/>
  <c r="D22" i="19" s="1"/>
  <c r="I16" i="15"/>
  <c r="G22" i="18" s="1"/>
  <c r="F22" i="19" s="1"/>
  <c r="I17" i="15"/>
  <c r="S28" i="4" s="1"/>
  <c r="D12" i="19"/>
  <c r="D28" i="19"/>
  <c r="F27" i="1"/>
  <c r="D15" i="19" l="1"/>
  <c r="D25" i="19"/>
  <c r="D11" i="19"/>
  <c r="I18" i="15"/>
  <c r="K18" i="15" s="1"/>
  <c r="G18" i="18"/>
  <c r="F18" i="19" s="1"/>
  <c r="G25" i="18"/>
  <c r="F25" i="19" s="1"/>
  <c r="G25" i="19" s="1"/>
  <c r="D24" i="19"/>
  <c r="D18" i="19"/>
  <c r="G12" i="18"/>
  <c r="F12" i="19" s="1"/>
  <c r="G12" i="19" s="1"/>
  <c r="D21" i="19"/>
  <c r="D27" i="19"/>
  <c r="D14" i="19"/>
  <c r="G28" i="18"/>
  <c r="F28" i="19" s="1"/>
  <c r="G28" i="19" s="1"/>
  <c r="G15" i="18"/>
  <c r="F15" i="19" s="1"/>
  <c r="G24" i="20"/>
  <c r="G12" i="20"/>
  <c r="G23" i="20"/>
  <c r="G19" i="20"/>
  <c r="G27" i="20"/>
  <c r="G11" i="20"/>
  <c r="G8" i="20"/>
  <c r="G18" i="20"/>
  <c r="G22" i="20"/>
  <c r="G10" i="20"/>
  <c r="G16" i="20"/>
  <c r="G17" i="20"/>
  <c r="G15" i="20"/>
  <c r="G9" i="20"/>
  <c r="G20" i="20"/>
  <c r="G26" i="20"/>
  <c r="G14" i="20"/>
  <c r="G21" i="20"/>
  <c r="G25" i="20"/>
  <c r="G13"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G28" i="20" l="1"/>
  <c r="G15" i="19"/>
  <c r="J15" i="19" s="1"/>
  <c r="G11" i="19"/>
  <c r="J11" i="19" s="1"/>
  <c r="G18" i="19"/>
  <c r="J18" i="19" s="1"/>
  <c r="G26" i="19"/>
  <c r="J26" i="19" s="1"/>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AA13" i="3"/>
  <c r="AA26" i="3"/>
  <c r="AA10" i="3"/>
  <c r="AA11" i="3"/>
  <c r="AA19" i="3"/>
  <c r="AA14" i="3"/>
  <c r="AA16" i="3"/>
  <c r="AA17" i="3"/>
  <c r="AA21" i="3"/>
  <c r="AA9" i="3"/>
  <c r="AA18" i="3"/>
  <c r="AA12" i="3"/>
  <c r="AA25" i="3"/>
  <c r="AA20" i="3"/>
  <c r="AA15" i="3"/>
  <c r="AA22" i="3"/>
  <c r="AA8" i="3"/>
  <c r="AA27" i="3"/>
  <c r="AA23" i="3"/>
  <c r="AA24" i="3"/>
  <c r="F29" i="19"/>
  <c r="J12" i="19"/>
  <c r="J25" i="19"/>
  <c r="J22" i="19"/>
  <c r="J28" i="19"/>
  <c r="D29" i="19"/>
  <c r="G9" i="19"/>
  <c r="AA28"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8" i="3"/>
  <c r="V9" i="3"/>
  <c r="V10" i="3"/>
  <c r="V11" i="3"/>
  <c r="V12" i="3"/>
  <c r="V15" i="3"/>
  <c r="V16" i="3"/>
  <c r="V17" i="3"/>
  <c r="V19" i="3"/>
  <c r="V20" i="3"/>
  <c r="V22" i="3"/>
  <c r="V24" i="3"/>
  <c r="V25" i="3"/>
  <c r="V27"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8" i="3"/>
  <c r="C9" i="3"/>
  <c r="C10" i="3"/>
  <c r="C11" i="3"/>
  <c r="C12" i="3"/>
  <c r="C13" i="3"/>
  <c r="C14" i="3"/>
  <c r="C15" i="3"/>
  <c r="C16" i="3"/>
  <c r="C17" i="3"/>
  <c r="C18" i="3"/>
  <c r="C30" i="11"/>
  <c r="B27" i="1"/>
  <c r="E27" i="1"/>
  <c r="G26" i="1"/>
  <c r="H27" i="4"/>
  <c r="G25" i="1"/>
  <c r="H26" i="4"/>
  <c r="G24" i="1"/>
  <c r="H25" i="4"/>
  <c r="G23" i="1"/>
  <c r="H24" i="4"/>
  <c r="G22" i="1"/>
  <c r="H23" i="4"/>
  <c r="G21" i="1"/>
  <c r="H22" i="4"/>
  <c r="G20" i="1"/>
  <c r="H21" i="4"/>
  <c r="G19" i="1"/>
  <c r="H20" i="4"/>
  <c r="G18" i="1"/>
  <c r="H19" i="4"/>
  <c r="G17" i="1"/>
  <c r="H18" i="4"/>
  <c r="G16" i="1"/>
  <c r="H17" i="4"/>
  <c r="G15" i="1"/>
  <c r="H16" i="4"/>
  <c r="G14" i="1"/>
  <c r="H15" i="4"/>
  <c r="G13" i="1"/>
  <c r="H14" i="4"/>
  <c r="G12" i="1"/>
  <c r="H13" i="4"/>
  <c r="G11" i="1"/>
  <c r="H12" i="4"/>
  <c r="G10" i="1"/>
  <c r="H11" i="4"/>
  <c r="G9" i="1"/>
  <c r="H10" i="4"/>
  <c r="G8" i="1"/>
  <c r="H9" i="4"/>
  <c r="G7" i="1"/>
  <c r="H8" i="4"/>
  <c r="M27" i="8"/>
  <c r="C27" i="8"/>
  <c r="D59" i="5"/>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F40" i="5" s="1"/>
  <c r="E39" i="5"/>
  <c r="AA28" i="5"/>
  <c r="Y28" i="5"/>
  <c r="W28" i="5"/>
  <c r="M28" i="5"/>
  <c r="N21" i="5" s="1"/>
  <c r="B20" i="47" s="1"/>
  <c r="D28" i="5"/>
  <c r="V27" i="5"/>
  <c r="X27" i="5" s="1"/>
  <c r="AB26" i="5"/>
  <c r="AB25" i="5"/>
  <c r="V25" i="5"/>
  <c r="X25" i="5" s="1"/>
  <c r="AB24" i="5"/>
  <c r="V24" i="5"/>
  <c r="X24" i="5" s="1"/>
  <c r="AB23" i="5"/>
  <c r="AB22" i="5"/>
  <c r="V22" i="5"/>
  <c r="X22" i="5" s="1"/>
  <c r="AB21" i="5"/>
  <c r="AB20" i="5"/>
  <c r="V20" i="5"/>
  <c r="X20" i="5" s="1"/>
  <c r="AB19" i="5"/>
  <c r="V19" i="5"/>
  <c r="X19" i="5" s="1"/>
  <c r="AB18" i="5"/>
  <c r="AB17" i="5"/>
  <c r="V17" i="5"/>
  <c r="X17" i="5" s="1"/>
  <c r="AB16" i="5"/>
  <c r="V16" i="5"/>
  <c r="X16" i="5" s="1"/>
  <c r="AB15" i="5"/>
  <c r="V15" i="5"/>
  <c r="X15" i="5" s="1"/>
  <c r="AB14" i="5"/>
  <c r="AB13" i="5"/>
  <c r="V12" i="5"/>
  <c r="X12" i="5" s="1"/>
  <c r="V11" i="5"/>
  <c r="X11" i="5" s="1"/>
  <c r="V10" i="5"/>
  <c r="X10" i="5" s="1"/>
  <c r="V9" i="5"/>
  <c r="X9" i="5" s="1"/>
  <c r="V8" i="5"/>
  <c r="X8" i="5" s="1"/>
  <c r="T8" i="5"/>
  <c r="T28" i="5" s="1"/>
  <c r="B28" i="4"/>
  <c r="I8" i="5" l="1"/>
  <c r="H8" i="65"/>
  <c r="I10" i="5"/>
  <c r="H10" i="65"/>
  <c r="I10" i="65" s="1"/>
  <c r="I12" i="5"/>
  <c r="H12" i="65"/>
  <c r="I12" i="65" s="1"/>
  <c r="I14" i="5"/>
  <c r="H14" i="65"/>
  <c r="I14" i="65" s="1"/>
  <c r="I16" i="5"/>
  <c r="H16" i="65"/>
  <c r="I16" i="65" s="1"/>
  <c r="I18" i="5"/>
  <c r="H18" i="65"/>
  <c r="I18" i="65" s="1"/>
  <c r="I20" i="5"/>
  <c r="H20" i="65"/>
  <c r="I20" i="65" s="1"/>
  <c r="I22" i="5"/>
  <c r="H22" i="65"/>
  <c r="I22" i="65" s="1"/>
  <c r="I24" i="5"/>
  <c r="H24" i="65"/>
  <c r="I24" i="65" s="1"/>
  <c r="I26" i="5"/>
  <c r="H26" i="65"/>
  <c r="I26" i="65" s="1"/>
  <c r="I9" i="5"/>
  <c r="H9" i="65"/>
  <c r="I9" i="65" s="1"/>
  <c r="I11" i="5"/>
  <c r="H11" i="65"/>
  <c r="I11" i="65" s="1"/>
  <c r="I13" i="5"/>
  <c r="H13" i="65"/>
  <c r="I13" i="65" s="1"/>
  <c r="I15" i="5"/>
  <c r="H15" i="65"/>
  <c r="I15" i="65" s="1"/>
  <c r="I17" i="5"/>
  <c r="H17" i="65"/>
  <c r="I17" i="65" s="1"/>
  <c r="I19" i="5"/>
  <c r="H19" i="65"/>
  <c r="I19" i="65" s="1"/>
  <c r="I21" i="5"/>
  <c r="H21" i="65"/>
  <c r="I21" i="65" s="1"/>
  <c r="I23" i="5"/>
  <c r="H23" i="65"/>
  <c r="I23" i="65" s="1"/>
  <c r="I25" i="5"/>
  <c r="H25" i="65"/>
  <c r="I25" i="65" s="1"/>
  <c r="W25" i="65" s="1"/>
  <c r="I27" i="5"/>
  <c r="H27" i="65"/>
  <c r="I27" i="65" s="1"/>
  <c r="C20" i="47"/>
  <c r="H20" i="47"/>
  <c r="N20" i="47"/>
  <c r="G20" i="47"/>
  <c r="D20" i="47"/>
  <c r="F20" i="47"/>
  <c r="K20" i="47"/>
  <c r="M20" i="47"/>
  <c r="J20" i="47"/>
  <c r="I20" i="47"/>
  <c r="E20" i="47"/>
  <c r="L20" i="47"/>
  <c r="L27" i="19"/>
  <c r="L9" i="19"/>
  <c r="AB28" i="5"/>
  <c r="L26" i="19"/>
  <c r="L25" i="19"/>
  <c r="L12" i="19"/>
  <c r="L15" i="19"/>
  <c r="L23" i="19"/>
  <c r="L17" i="19"/>
  <c r="L21" i="19"/>
  <c r="L20" i="19"/>
  <c r="L19" i="19"/>
  <c r="L18" i="19"/>
  <c r="L11" i="19"/>
  <c r="L28" i="19"/>
  <c r="M29" i="19"/>
  <c r="E87" i="19" s="1"/>
  <c r="F87" i="19" s="1"/>
  <c r="E67" i="19"/>
  <c r="F67" i="19" s="1"/>
  <c r="L22" i="19"/>
  <c r="L24" i="19"/>
  <c r="L10" i="19"/>
  <c r="L14" i="19"/>
  <c r="L16" i="19"/>
  <c r="N23" i="5"/>
  <c r="N18" i="5"/>
  <c r="N13" i="5"/>
  <c r="V21" i="3"/>
  <c r="V21" i="5"/>
  <c r="X21" i="5" s="1"/>
  <c r="N26" i="5"/>
  <c r="B25" i="47" s="1"/>
  <c r="N14" i="5"/>
  <c r="B13" i="47" s="1"/>
  <c r="E8" i="8"/>
  <c r="I9" i="4"/>
  <c r="J9" i="4" s="1"/>
  <c r="X9" i="4" s="1"/>
  <c r="E10" i="8"/>
  <c r="I11" i="4"/>
  <c r="J11" i="4" s="1"/>
  <c r="X11" i="4" s="1"/>
  <c r="E12" i="8"/>
  <c r="I13" i="4"/>
  <c r="J13" i="4" s="1"/>
  <c r="X13" i="4" s="1"/>
  <c r="E14" i="8"/>
  <c r="I15" i="4"/>
  <c r="E16" i="8"/>
  <c r="I17" i="4"/>
  <c r="J17" i="4" s="1"/>
  <c r="X17" i="4" s="1"/>
  <c r="E18" i="8"/>
  <c r="I19" i="4"/>
  <c r="J19" i="4" s="1"/>
  <c r="X19" i="4" s="1"/>
  <c r="I21" i="4"/>
  <c r="J21" i="4" s="1"/>
  <c r="X21" i="4" s="1"/>
  <c r="E20" i="8"/>
  <c r="E22" i="8"/>
  <c r="I23" i="4"/>
  <c r="J23" i="4" s="1"/>
  <c r="X23" i="4" s="1"/>
  <c r="I25" i="4"/>
  <c r="J25" i="4" s="1"/>
  <c r="X25" i="4" s="1"/>
  <c r="E24" i="8"/>
  <c r="E26" i="8"/>
  <c r="I27" i="4"/>
  <c r="J27" i="4" s="1"/>
  <c r="X27" i="4" s="1"/>
  <c r="E9" i="8"/>
  <c r="I10" i="4"/>
  <c r="J10" i="4" s="1"/>
  <c r="X10" i="4" s="1"/>
  <c r="I12" i="4"/>
  <c r="J12" i="4" s="1"/>
  <c r="X12" i="4" s="1"/>
  <c r="E11" i="8"/>
  <c r="I14" i="4"/>
  <c r="J14" i="4" s="1"/>
  <c r="X14" i="4" s="1"/>
  <c r="E13" i="8"/>
  <c r="I16" i="4"/>
  <c r="J16" i="4" s="1"/>
  <c r="X16" i="4" s="1"/>
  <c r="E15" i="8"/>
  <c r="I18" i="4"/>
  <c r="J18" i="4" s="1"/>
  <c r="X18" i="4" s="1"/>
  <c r="E17" i="8"/>
  <c r="I20" i="4"/>
  <c r="J20" i="4" s="1"/>
  <c r="X20" i="4" s="1"/>
  <c r="E19" i="8"/>
  <c r="I22" i="4"/>
  <c r="J22" i="4" s="1"/>
  <c r="X22" i="4" s="1"/>
  <c r="E21" i="8"/>
  <c r="I24" i="4"/>
  <c r="J24" i="4" s="1"/>
  <c r="X24" i="4" s="1"/>
  <c r="E23" i="8"/>
  <c r="E25" i="8"/>
  <c r="I26" i="4"/>
  <c r="J26" i="4" s="1"/>
  <c r="X26" i="4" s="1"/>
  <c r="I8" i="4"/>
  <c r="J8" i="4" s="1"/>
  <c r="X8" i="4" s="1"/>
  <c r="E7" i="8"/>
  <c r="G27" i="1"/>
  <c r="D27" i="1"/>
  <c r="D28" i="4"/>
  <c r="E10" i="4" s="1"/>
  <c r="E59" i="5"/>
  <c r="F59" i="5" s="1"/>
  <c r="H28" i="4"/>
  <c r="F28" i="5"/>
  <c r="G9" i="5" s="1"/>
  <c r="G27" i="8"/>
  <c r="C27" i="1"/>
  <c r="C28" i="7"/>
  <c r="D13" i="7" s="1"/>
  <c r="E28" i="5"/>
  <c r="F39" i="5"/>
  <c r="B12" i="41" l="1"/>
  <c r="E13" i="7"/>
  <c r="AC13" i="3" s="1"/>
  <c r="I28" i="5"/>
  <c r="J12" i="5" s="1"/>
  <c r="K12" i="5" s="1"/>
  <c r="W27" i="65"/>
  <c r="W23" i="65"/>
  <c r="W19" i="65"/>
  <c r="W15" i="65"/>
  <c r="W11" i="65"/>
  <c r="W26" i="65"/>
  <c r="W22" i="65"/>
  <c r="W18" i="65"/>
  <c r="W14" i="65"/>
  <c r="W10" i="65"/>
  <c r="W21" i="65"/>
  <c r="W17" i="65"/>
  <c r="W13" i="65"/>
  <c r="W9" i="65"/>
  <c r="W24" i="65"/>
  <c r="W20" i="65"/>
  <c r="W16" i="65"/>
  <c r="W12" i="65"/>
  <c r="H28" i="65"/>
  <c r="I8" i="65"/>
  <c r="H9" i="5"/>
  <c r="C25" i="47"/>
  <c r="G25" i="47"/>
  <c r="I25" i="47"/>
  <c r="H25" i="47"/>
  <c r="J25" i="47"/>
  <c r="D25" i="47"/>
  <c r="M25" i="47"/>
  <c r="E25" i="47"/>
  <c r="L25" i="47"/>
  <c r="K25" i="47"/>
  <c r="N25" i="47"/>
  <c r="F25" i="47"/>
  <c r="V18" i="3"/>
  <c r="B17" i="47"/>
  <c r="V23" i="3"/>
  <c r="B22" i="47"/>
  <c r="C13" i="47"/>
  <c r="K13" i="47"/>
  <c r="E13" i="47"/>
  <c r="M13" i="47"/>
  <c r="I13" i="47"/>
  <c r="H13" i="47"/>
  <c r="L13" i="47"/>
  <c r="F13" i="47"/>
  <c r="J13" i="47"/>
  <c r="D13" i="47"/>
  <c r="N13" i="47"/>
  <c r="G13" i="47"/>
  <c r="V13" i="3"/>
  <c r="B12" i="47"/>
  <c r="O20" i="47"/>
  <c r="E23" i="4"/>
  <c r="E21" i="4"/>
  <c r="E25" i="4"/>
  <c r="E11" i="4"/>
  <c r="L29" i="19"/>
  <c r="AB13" i="3"/>
  <c r="F10" i="4"/>
  <c r="N28"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8" i="5"/>
  <c r="X18" i="5" s="1"/>
  <c r="V13" i="5"/>
  <c r="X13" i="5" s="1"/>
  <c r="V23" i="5"/>
  <c r="X23" i="5" s="1"/>
  <c r="V14" i="3"/>
  <c r="V14" i="5"/>
  <c r="X14" i="5" s="1"/>
  <c r="V26" i="3"/>
  <c r="V26" i="5"/>
  <c r="X26" i="5" s="1"/>
  <c r="E26" i="4"/>
  <c r="E12" i="4"/>
  <c r="E14" i="4"/>
  <c r="E17" i="4"/>
  <c r="I28" i="4"/>
  <c r="J15" i="4"/>
  <c r="X15" i="4" s="1"/>
  <c r="E27" i="8"/>
  <c r="F10" i="8" s="1"/>
  <c r="H10" i="8" s="1"/>
  <c r="J25" i="5"/>
  <c r="J24" i="5"/>
  <c r="K24" i="5" s="1"/>
  <c r="D19" i="7"/>
  <c r="D25" i="7"/>
  <c r="G17" i="5"/>
  <c r="G23" i="5"/>
  <c r="G15" i="5"/>
  <c r="G18" i="5"/>
  <c r="G19" i="5"/>
  <c r="G25" i="5"/>
  <c r="G26" i="5"/>
  <c r="G27" i="5"/>
  <c r="G20" i="5"/>
  <c r="G22" i="5"/>
  <c r="G24" i="5"/>
  <c r="G28" i="5"/>
  <c r="G14" i="5"/>
  <c r="J14" i="5"/>
  <c r="K14" i="5" s="1"/>
  <c r="E24" i="4"/>
  <c r="E22" i="4"/>
  <c r="E20" i="4"/>
  <c r="J16" i="5"/>
  <c r="K16" i="5" s="1"/>
  <c r="E19" i="4"/>
  <c r="E16" i="4"/>
  <c r="E8" i="4"/>
  <c r="E9" i="4"/>
  <c r="E27" i="4"/>
  <c r="E18" i="4"/>
  <c r="J11" i="5"/>
  <c r="K11" i="5" s="1"/>
  <c r="E15" i="4"/>
  <c r="E13" i="4"/>
  <c r="J26" i="5"/>
  <c r="K26" i="5" s="1"/>
  <c r="G11" i="5"/>
  <c r="J15" i="5"/>
  <c r="K15" i="5" s="1"/>
  <c r="G10" i="5"/>
  <c r="G16" i="5"/>
  <c r="G21" i="5"/>
  <c r="G8" i="5"/>
  <c r="G13" i="5"/>
  <c r="G12" i="5"/>
  <c r="B11" i="48" s="1"/>
  <c r="D27" i="7"/>
  <c r="D15" i="7"/>
  <c r="D17" i="7"/>
  <c r="D23" i="7"/>
  <c r="D9" i="7"/>
  <c r="D26" i="7"/>
  <c r="D22" i="7"/>
  <c r="D18" i="7"/>
  <c r="D14" i="7"/>
  <c r="D10" i="7"/>
  <c r="D24" i="7"/>
  <c r="D20" i="7"/>
  <c r="D16" i="7"/>
  <c r="D12" i="7"/>
  <c r="D8" i="7"/>
  <c r="D21" i="7"/>
  <c r="D11" i="7"/>
  <c r="J27" i="5"/>
  <c r="K27" i="5" s="1"/>
  <c r="J23" i="5"/>
  <c r="K23" i="5" s="1"/>
  <c r="J22" i="5"/>
  <c r="K22" i="5" s="1"/>
  <c r="J21" i="5"/>
  <c r="K21" i="5" s="1"/>
  <c r="J20" i="5"/>
  <c r="K20" i="5" s="1"/>
  <c r="J19" i="5"/>
  <c r="K19" i="5" s="1"/>
  <c r="J17" i="5"/>
  <c r="K17" i="5" s="1"/>
  <c r="J28" i="5"/>
  <c r="J10" i="5"/>
  <c r="K10" i="5" s="1"/>
  <c r="J9" i="5"/>
  <c r="K9" i="5" s="1"/>
  <c r="J13" i="5"/>
  <c r="K13" i="5" s="1"/>
  <c r="J8" i="5"/>
  <c r="K8" i="5" s="1"/>
  <c r="J18" i="5"/>
  <c r="K18" i="5" s="1"/>
  <c r="B17" i="41" l="1"/>
  <c r="E18" i="7"/>
  <c r="AC18" i="3" s="1"/>
  <c r="B7" i="41"/>
  <c r="E8" i="7"/>
  <c r="AC8" i="3" s="1"/>
  <c r="B21" i="41"/>
  <c r="E22" i="7"/>
  <c r="AC22" i="3" s="1"/>
  <c r="B11" i="41"/>
  <c r="E12" i="7"/>
  <c r="AC12" i="3" s="1"/>
  <c r="B9" i="41"/>
  <c r="E10" i="7"/>
  <c r="AC10" i="3" s="1"/>
  <c r="B25" i="41"/>
  <c r="E26" i="7"/>
  <c r="AC26" i="3" s="1"/>
  <c r="B14" i="41"/>
  <c r="E15" i="7"/>
  <c r="AC15" i="3" s="1"/>
  <c r="B20" i="41"/>
  <c r="E21" i="7"/>
  <c r="AC21" i="3" s="1"/>
  <c r="B22" i="41"/>
  <c r="E23" i="7"/>
  <c r="AC23" i="3" s="1"/>
  <c r="B24" i="41"/>
  <c r="E25" i="7"/>
  <c r="AC25" i="3" s="1"/>
  <c r="B23" i="41"/>
  <c r="E24" i="7"/>
  <c r="AC24" i="3" s="1"/>
  <c r="B16" i="41"/>
  <c r="E17" i="7"/>
  <c r="AC17" i="3" s="1"/>
  <c r="B18" i="41"/>
  <c r="E19" i="7"/>
  <c r="AC19" i="3" s="1"/>
  <c r="B10" i="41"/>
  <c r="E11" i="7"/>
  <c r="AC11" i="3" s="1"/>
  <c r="B15" i="41"/>
  <c r="E16" i="7"/>
  <c r="AC16" i="3" s="1"/>
  <c r="B13" i="41"/>
  <c r="E14" i="7"/>
  <c r="AC14" i="3" s="1"/>
  <c r="B8" i="41"/>
  <c r="E9" i="7"/>
  <c r="AC9" i="3" s="1"/>
  <c r="B26" i="41"/>
  <c r="E27" i="7"/>
  <c r="AC27" i="3" s="1"/>
  <c r="B19" i="41"/>
  <c r="E20" i="7"/>
  <c r="AC20" i="3" s="1"/>
  <c r="W8" i="65"/>
  <c r="I28" i="65"/>
  <c r="J8" i="65" s="1"/>
  <c r="H13" i="5"/>
  <c r="B12" i="48"/>
  <c r="H10" i="5"/>
  <c r="G41" i="5" s="1"/>
  <c r="B9" i="48"/>
  <c r="H24" i="5"/>
  <c r="G55" i="5" s="1"/>
  <c r="B23" i="48"/>
  <c r="H26" i="5"/>
  <c r="L26" i="5" s="1"/>
  <c r="B25" i="48"/>
  <c r="H15" i="5"/>
  <c r="L15" i="5" s="1"/>
  <c r="B14" i="48"/>
  <c r="O13" i="47"/>
  <c r="C17" i="47"/>
  <c r="K17" i="47"/>
  <c r="I17" i="47"/>
  <c r="E17" i="47"/>
  <c r="D17" i="47"/>
  <c r="M17" i="47"/>
  <c r="L17" i="47"/>
  <c r="G17" i="47"/>
  <c r="F17" i="47"/>
  <c r="J17" i="47"/>
  <c r="H17" i="47"/>
  <c r="N17" i="47"/>
  <c r="H8" i="5"/>
  <c r="B37" i="48"/>
  <c r="B38" i="48" s="1"/>
  <c r="B7" i="48"/>
  <c r="H22" i="5"/>
  <c r="G53" i="5" s="1"/>
  <c r="B21" i="48"/>
  <c r="H25" i="5"/>
  <c r="B24" i="48"/>
  <c r="H23" i="5"/>
  <c r="G54" i="5" s="1"/>
  <c r="B22" i="48"/>
  <c r="C22" i="47"/>
  <c r="L22" i="47"/>
  <c r="I22" i="47"/>
  <c r="N22" i="47"/>
  <c r="G22" i="47"/>
  <c r="E22" i="47"/>
  <c r="H22" i="47"/>
  <c r="J22" i="47"/>
  <c r="K22" i="47"/>
  <c r="M22" i="47"/>
  <c r="D22" i="47"/>
  <c r="F22" i="47"/>
  <c r="O25" i="47"/>
  <c r="H21" i="5"/>
  <c r="G52" i="5" s="1"/>
  <c r="B20" i="48"/>
  <c r="H11" i="5"/>
  <c r="G42" i="5" s="1"/>
  <c r="B10" i="48"/>
  <c r="H14" i="5"/>
  <c r="G45" i="5" s="1"/>
  <c r="H45" i="5" s="1"/>
  <c r="B13" i="48"/>
  <c r="H20" i="5"/>
  <c r="L20" i="5" s="1"/>
  <c r="B19" i="48"/>
  <c r="H19" i="5"/>
  <c r="G50" i="5" s="1"/>
  <c r="B18" i="48"/>
  <c r="H17" i="5"/>
  <c r="G48" i="5" s="1"/>
  <c r="B16" i="48"/>
  <c r="B8" i="48"/>
  <c r="L11" i="48"/>
  <c r="H11" i="48"/>
  <c r="E11" i="48"/>
  <c r="K11" i="48"/>
  <c r="C11" i="48"/>
  <c r="F11" i="48"/>
  <c r="M11" i="48"/>
  <c r="J11" i="48"/>
  <c r="G11" i="48"/>
  <c r="N11" i="48"/>
  <c r="I11" i="48"/>
  <c r="D11" i="48"/>
  <c r="H16" i="5"/>
  <c r="G47" i="5" s="1"/>
  <c r="B15" i="48"/>
  <c r="H27" i="5"/>
  <c r="B26" i="48"/>
  <c r="H18" i="5"/>
  <c r="L18" i="5" s="1"/>
  <c r="B17" i="48"/>
  <c r="C12" i="47"/>
  <c r="M12" i="47"/>
  <c r="K12" i="47"/>
  <c r="G12" i="47"/>
  <c r="F12" i="47"/>
  <c r="L12" i="47"/>
  <c r="E12" i="47"/>
  <c r="D12" i="47"/>
  <c r="J12" i="47"/>
  <c r="N12" i="47"/>
  <c r="B27" i="47"/>
  <c r="H12" i="47"/>
  <c r="I12" i="47"/>
  <c r="F23" i="4"/>
  <c r="G23" i="4" s="1"/>
  <c r="F21" i="4"/>
  <c r="F11" i="4"/>
  <c r="F25" i="4"/>
  <c r="AB20" i="3"/>
  <c r="AB18" i="3"/>
  <c r="AB8" i="3"/>
  <c r="AB24" i="3"/>
  <c r="AB22" i="3"/>
  <c r="AB17" i="3"/>
  <c r="AB19" i="3"/>
  <c r="AB12" i="3"/>
  <c r="AB10" i="3"/>
  <c r="AB26" i="3"/>
  <c r="AB15" i="3"/>
  <c r="AB11" i="3"/>
  <c r="AB16" i="3"/>
  <c r="AB14" i="3"/>
  <c r="AB9" i="3"/>
  <c r="AB27" i="3"/>
  <c r="AB21" i="3"/>
  <c r="AB23" i="3"/>
  <c r="AB25" i="3"/>
  <c r="F13" i="4"/>
  <c r="F8" i="4"/>
  <c r="F22" i="4"/>
  <c r="F14" i="4"/>
  <c r="G21" i="4"/>
  <c r="F20" i="4"/>
  <c r="F18" i="4"/>
  <c r="F16" i="4"/>
  <c r="F24" i="4"/>
  <c r="F12" i="4"/>
  <c r="G11" i="4"/>
  <c r="F9" i="4"/>
  <c r="F17" i="4"/>
  <c r="F15" i="4"/>
  <c r="F27" i="4"/>
  <c r="F19" i="4"/>
  <c r="F26" i="4"/>
  <c r="G10" i="4"/>
  <c r="G25" i="4"/>
  <c r="R12" i="5"/>
  <c r="S12" i="5" s="1"/>
  <c r="U12" i="3" s="1"/>
  <c r="H12" i="5"/>
  <c r="R25" i="5"/>
  <c r="S25" i="5" s="1"/>
  <c r="U25" i="3" s="1"/>
  <c r="K25" i="5"/>
  <c r="V28" i="5"/>
  <c r="X28" i="5"/>
  <c r="AG24" i="5"/>
  <c r="AH24" i="5" s="1"/>
  <c r="AG22" i="5"/>
  <c r="AH22" i="5" s="1"/>
  <c r="R23" i="5"/>
  <c r="S23" i="5" s="1"/>
  <c r="U23" i="3" s="1"/>
  <c r="AG15" i="5"/>
  <c r="AH15" i="5" s="1"/>
  <c r="R24" i="5"/>
  <c r="S24" i="5" s="1"/>
  <c r="U24" i="3" s="1"/>
  <c r="J28" i="4"/>
  <c r="K20" i="4" s="1"/>
  <c r="F21" i="8"/>
  <c r="H21" i="8" s="1"/>
  <c r="F20" i="8"/>
  <c r="H20" i="8" s="1"/>
  <c r="F16" i="8"/>
  <c r="H16" i="8" s="1"/>
  <c r="F25" i="8"/>
  <c r="H25" i="8" s="1"/>
  <c r="F18" i="8"/>
  <c r="H18" i="8" s="1"/>
  <c r="F14" i="8"/>
  <c r="H14" i="8" s="1"/>
  <c r="F22" i="8"/>
  <c r="H22" i="8" s="1"/>
  <c r="F23" i="8"/>
  <c r="H23" i="8" s="1"/>
  <c r="F15" i="8"/>
  <c r="H15" i="8" s="1"/>
  <c r="F9" i="8"/>
  <c r="H9" i="8" s="1"/>
  <c r="F11" i="8"/>
  <c r="H11" i="8" s="1"/>
  <c r="F19" i="8"/>
  <c r="H19" i="8" s="1"/>
  <c r="F26" i="8"/>
  <c r="H26" i="8" s="1"/>
  <c r="F8" i="8"/>
  <c r="H8" i="8" s="1"/>
  <c r="F13" i="8"/>
  <c r="H13" i="8" s="1"/>
  <c r="F7" i="8"/>
  <c r="H7" i="8" s="1"/>
  <c r="F24" i="8"/>
  <c r="H24" i="8" s="1"/>
  <c r="F12" i="8"/>
  <c r="H12" i="8" s="1"/>
  <c r="F17" i="8"/>
  <c r="H17" i="8" s="1"/>
  <c r="R16" i="5"/>
  <c r="S16" i="5" s="1"/>
  <c r="U16" i="3" s="1"/>
  <c r="R15" i="5"/>
  <c r="S15" i="5" s="1"/>
  <c r="U15" i="3" s="1"/>
  <c r="AG28" i="5"/>
  <c r="AH28" i="5" s="1"/>
  <c r="AG14" i="5"/>
  <c r="AH14" i="5" s="1"/>
  <c r="R14" i="5"/>
  <c r="S14" i="5" s="1"/>
  <c r="U14" i="3" s="1"/>
  <c r="AG11" i="5"/>
  <c r="AH11" i="5" s="1"/>
  <c r="AG25" i="5"/>
  <c r="AH25" i="5" s="1"/>
  <c r="AG12" i="5"/>
  <c r="AH12" i="5" s="1"/>
  <c r="E28" i="4"/>
  <c r="AG16" i="5"/>
  <c r="AH16" i="5" s="1"/>
  <c r="R20" i="5"/>
  <c r="S20" i="5" s="1"/>
  <c r="U20" i="3" s="1"/>
  <c r="R26" i="5"/>
  <c r="S26" i="5" s="1"/>
  <c r="U26" i="3" s="1"/>
  <c r="R11" i="5"/>
  <c r="S11" i="5" s="1"/>
  <c r="U11" i="3" s="1"/>
  <c r="AG26" i="5"/>
  <c r="AH26" i="5" s="1"/>
  <c r="AG10" i="5"/>
  <c r="AH10" i="5" s="1"/>
  <c r="AG23" i="5"/>
  <c r="AH23" i="5" s="1"/>
  <c r="AG20" i="5"/>
  <c r="AH20" i="5" s="1"/>
  <c r="R21" i="5"/>
  <c r="S21" i="5" s="1"/>
  <c r="U21" i="3" s="1"/>
  <c r="D28" i="7"/>
  <c r="L22" i="5"/>
  <c r="R9" i="5"/>
  <c r="S9" i="5" s="1"/>
  <c r="U9" i="3" s="1"/>
  <c r="AG9" i="5"/>
  <c r="AH9" i="5" s="1"/>
  <c r="AG17" i="5"/>
  <c r="AH17" i="5" s="1"/>
  <c r="AG8" i="5"/>
  <c r="AH8" i="5" s="1"/>
  <c r="R19" i="5"/>
  <c r="S19" i="5" s="1"/>
  <c r="U19" i="3" s="1"/>
  <c r="R27" i="5"/>
  <c r="S27" i="5" s="1"/>
  <c r="U27" i="3" s="1"/>
  <c r="R18" i="5"/>
  <c r="S18" i="5" s="1"/>
  <c r="U18" i="3" s="1"/>
  <c r="AG13" i="5"/>
  <c r="AH13" i="5" s="1"/>
  <c r="R13" i="5"/>
  <c r="S13" i="5" s="1"/>
  <c r="U13" i="3" s="1"/>
  <c r="R17" i="5"/>
  <c r="S17" i="5" s="1"/>
  <c r="U17" i="3" s="1"/>
  <c r="R22" i="5"/>
  <c r="S22" i="5" s="1"/>
  <c r="U22" i="3" s="1"/>
  <c r="G46" i="5"/>
  <c r="G39" i="5"/>
  <c r="L8" i="5"/>
  <c r="AG19" i="5"/>
  <c r="AH19" i="5" s="1"/>
  <c r="L27" i="5"/>
  <c r="G58" i="5"/>
  <c r="L23" i="5"/>
  <c r="AG21" i="5"/>
  <c r="AH21" i="5" s="1"/>
  <c r="R8" i="5"/>
  <c r="AG27" i="5"/>
  <c r="AH27" i="5" s="1"/>
  <c r="AG18" i="5"/>
  <c r="AH18" i="5" s="1"/>
  <c r="R10" i="5"/>
  <c r="S10" i="5" s="1"/>
  <c r="U10" i="3" s="1"/>
  <c r="L10" i="5" l="1"/>
  <c r="G57" i="5"/>
  <c r="O12" i="41"/>
  <c r="O9" i="40"/>
  <c r="B27" i="41"/>
  <c r="L14" i="5"/>
  <c r="L21" i="5"/>
  <c r="L19" i="5"/>
  <c r="G49" i="5"/>
  <c r="H49" i="5" s="1"/>
  <c r="L16" i="5"/>
  <c r="K8" i="65"/>
  <c r="J25" i="65"/>
  <c r="K25" i="65" s="1"/>
  <c r="J27" i="65"/>
  <c r="K27" i="65" s="1"/>
  <c r="J19" i="65"/>
  <c r="K19" i="65" s="1"/>
  <c r="J11" i="65"/>
  <c r="K11" i="65" s="1"/>
  <c r="J22" i="65"/>
  <c r="K22" i="65" s="1"/>
  <c r="J14" i="65"/>
  <c r="K14" i="65" s="1"/>
  <c r="J21" i="65"/>
  <c r="K21" i="65" s="1"/>
  <c r="J13" i="65"/>
  <c r="K13" i="65" s="1"/>
  <c r="J24" i="65"/>
  <c r="K24" i="65" s="1"/>
  <c r="J16" i="65"/>
  <c r="K16" i="65" s="1"/>
  <c r="J23" i="65"/>
  <c r="K23" i="65" s="1"/>
  <c r="J15" i="65"/>
  <c r="K15" i="65" s="1"/>
  <c r="J26" i="65"/>
  <c r="K26" i="65" s="1"/>
  <c r="J18" i="65"/>
  <c r="K18" i="65" s="1"/>
  <c r="J10" i="65"/>
  <c r="K10" i="65" s="1"/>
  <c r="J17" i="65"/>
  <c r="K17" i="65" s="1"/>
  <c r="J9" i="65"/>
  <c r="K9" i="65" s="1"/>
  <c r="J20" i="65"/>
  <c r="K20" i="65" s="1"/>
  <c r="J12" i="65"/>
  <c r="K12" i="65" s="1"/>
  <c r="L24" i="5"/>
  <c r="G56" i="5"/>
  <c r="H56" i="5" s="1"/>
  <c r="G51" i="5"/>
  <c r="H51" i="5" s="1"/>
  <c r="L17" i="5"/>
  <c r="L11" i="5"/>
  <c r="Z25" i="5"/>
  <c r="K28" i="5"/>
  <c r="O19" i="5" s="1"/>
  <c r="I27" i="47"/>
  <c r="J27" i="47"/>
  <c r="F27" i="47"/>
  <c r="C27" i="47"/>
  <c r="O12" i="47"/>
  <c r="I8" i="46"/>
  <c r="I8" i="57"/>
  <c r="M8" i="57"/>
  <c r="M8" i="46"/>
  <c r="E8" i="57"/>
  <c r="E8" i="46"/>
  <c r="H18" i="48"/>
  <c r="L18" i="48"/>
  <c r="M18" i="48"/>
  <c r="J18" i="48"/>
  <c r="K18" i="48"/>
  <c r="F18" i="48"/>
  <c r="C18" i="48"/>
  <c r="E18" i="48"/>
  <c r="D18" i="48"/>
  <c r="G18" i="48"/>
  <c r="N18" i="48"/>
  <c r="I18" i="48"/>
  <c r="H13" i="48"/>
  <c r="L13" i="48"/>
  <c r="K13" i="48"/>
  <c r="C13" i="48"/>
  <c r="E13" i="48"/>
  <c r="G13" i="48"/>
  <c r="M13" i="48"/>
  <c r="J13" i="48"/>
  <c r="D13" i="48"/>
  <c r="F13" i="48"/>
  <c r="N13" i="48"/>
  <c r="I13" i="48"/>
  <c r="L20" i="48"/>
  <c r="H20" i="48"/>
  <c r="K20" i="48"/>
  <c r="F20" i="48"/>
  <c r="C20" i="48"/>
  <c r="E20" i="48"/>
  <c r="M20" i="48"/>
  <c r="J20" i="48"/>
  <c r="N20" i="48"/>
  <c r="G20" i="48"/>
  <c r="D20" i="48"/>
  <c r="I20" i="48"/>
  <c r="H24" i="48"/>
  <c r="L24" i="48"/>
  <c r="C24" i="48"/>
  <c r="G24" i="48"/>
  <c r="E24" i="48"/>
  <c r="M24" i="48"/>
  <c r="J24" i="48"/>
  <c r="K24" i="48"/>
  <c r="F24" i="48"/>
  <c r="I24" i="48"/>
  <c r="N24" i="48"/>
  <c r="D24" i="48"/>
  <c r="B27" i="48"/>
  <c r="H7" i="48"/>
  <c r="L7" i="48"/>
  <c r="K7" i="48"/>
  <c r="M7" i="48"/>
  <c r="E7" i="48"/>
  <c r="J7" i="48"/>
  <c r="C7" i="48"/>
  <c r="G7" i="48"/>
  <c r="F7" i="48"/>
  <c r="D7" i="48"/>
  <c r="N7" i="48"/>
  <c r="I7" i="48"/>
  <c r="H27" i="47"/>
  <c r="D27" i="47"/>
  <c r="G27" i="47"/>
  <c r="O21" i="40"/>
  <c r="O24" i="41"/>
  <c r="L17" i="48"/>
  <c r="L14" i="46" s="1"/>
  <c r="H17" i="48"/>
  <c r="H14" i="46" s="1"/>
  <c r="F17" i="48"/>
  <c r="F14" i="57" s="1"/>
  <c r="C17" i="48"/>
  <c r="C14" i="46" s="1"/>
  <c r="E17" i="48"/>
  <c r="E14" i="57" s="1"/>
  <c r="M17" i="48"/>
  <c r="M14" i="57" s="1"/>
  <c r="J17" i="48"/>
  <c r="J14" i="57" s="1"/>
  <c r="G17" i="48"/>
  <c r="G14" i="57" s="1"/>
  <c r="K17" i="48"/>
  <c r="K14" i="57" s="1"/>
  <c r="N17" i="48"/>
  <c r="N14" i="57" s="1"/>
  <c r="I17" i="48"/>
  <c r="I14" i="46" s="1"/>
  <c r="D17" i="48"/>
  <c r="D14" i="46" s="1"/>
  <c r="L15" i="48"/>
  <c r="H15" i="48"/>
  <c r="M15" i="48"/>
  <c r="J15" i="48"/>
  <c r="K15" i="48"/>
  <c r="E15" i="48"/>
  <c r="C15" i="48"/>
  <c r="G15" i="48"/>
  <c r="F15" i="48"/>
  <c r="D15" i="48"/>
  <c r="I15" i="48"/>
  <c r="N15" i="48"/>
  <c r="N8" i="46"/>
  <c r="N8" i="57"/>
  <c r="F8" i="57"/>
  <c r="F8" i="46"/>
  <c r="H8" i="46"/>
  <c r="H8" i="57"/>
  <c r="L14" i="48"/>
  <c r="H14" i="48"/>
  <c r="J14" i="48"/>
  <c r="K14" i="48"/>
  <c r="C14" i="48"/>
  <c r="G14" i="48"/>
  <c r="F14" i="48"/>
  <c r="E14" i="48"/>
  <c r="M14" i="48"/>
  <c r="N14" i="48"/>
  <c r="D14" i="48"/>
  <c r="I14" i="48"/>
  <c r="L23" i="48"/>
  <c r="K23" i="48"/>
  <c r="M23" i="48"/>
  <c r="C23" i="48"/>
  <c r="H23" i="48"/>
  <c r="E23" i="48"/>
  <c r="J23" i="48"/>
  <c r="G23" i="48"/>
  <c r="F23" i="48"/>
  <c r="D23" i="48"/>
  <c r="I23" i="48"/>
  <c r="N23" i="48"/>
  <c r="L12" i="48"/>
  <c r="L9" i="46" s="1"/>
  <c r="E12" i="48"/>
  <c r="E9" i="57" s="1"/>
  <c r="M12" i="48"/>
  <c r="M9" i="46" s="1"/>
  <c r="J12" i="48"/>
  <c r="J9" i="57" s="1"/>
  <c r="H12" i="48"/>
  <c r="H9" i="46" s="1"/>
  <c r="K12" i="48"/>
  <c r="K9" i="57" s="1"/>
  <c r="C12" i="48"/>
  <c r="G12" i="48"/>
  <c r="G9" i="46" s="1"/>
  <c r="D12" i="48"/>
  <c r="D9" i="57" s="1"/>
  <c r="F12" i="48"/>
  <c r="F9" i="57" s="1"/>
  <c r="N12" i="48"/>
  <c r="N9" i="46" s="1"/>
  <c r="I12" i="48"/>
  <c r="I9" i="57" s="1"/>
  <c r="E27" i="47"/>
  <c r="K27" i="47"/>
  <c r="G8" i="57"/>
  <c r="G8" i="46"/>
  <c r="C8" i="57"/>
  <c r="C8" i="46"/>
  <c r="O11" i="48"/>
  <c r="L8" i="46"/>
  <c r="L8" i="57"/>
  <c r="L16" i="48"/>
  <c r="M16" i="48"/>
  <c r="H16" i="48"/>
  <c r="K16" i="48"/>
  <c r="C16" i="48"/>
  <c r="G16" i="48"/>
  <c r="E16" i="48"/>
  <c r="J16" i="48"/>
  <c r="F16" i="48"/>
  <c r="I16" i="48"/>
  <c r="D16" i="48"/>
  <c r="N16" i="48"/>
  <c r="H19" i="48"/>
  <c r="L19" i="48"/>
  <c r="J19" i="48"/>
  <c r="M19" i="48"/>
  <c r="K19" i="48"/>
  <c r="E19" i="48"/>
  <c r="C19" i="48"/>
  <c r="G19" i="48"/>
  <c r="F19" i="48"/>
  <c r="N19" i="48"/>
  <c r="I19" i="48"/>
  <c r="D19" i="48"/>
  <c r="H10" i="48"/>
  <c r="L10" i="48"/>
  <c r="M10" i="48"/>
  <c r="E10" i="48"/>
  <c r="J10" i="48"/>
  <c r="K10" i="48"/>
  <c r="C10" i="48"/>
  <c r="G10" i="48"/>
  <c r="F10" i="48"/>
  <c r="D10" i="48"/>
  <c r="I10" i="48"/>
  <c r="N10" i="48"/>
  <c r="O23" i="40"/>
  <c r="O26" i="41"/>
  <c r="O10" i="40"/>
  <c r="O13" i="41"/>
  <c r="O7" i="40"/>
  <c r="O10" i="41"/>
  <c r="O22" i="47"/>
  <c r="L22" i="48"/>
  <c r="L19" i="57" s="1"/>
  <c r="H22" i="48"/>
  <c r="H19" i="46" s="1"/>
  <c r="E22" i="48"/>
  <c r="E19" i="57" s="1"/>
  <c r="C22" i="48"/>
  <c r="G22" i="48"/>
  <c r="G19" i="57" s="1"/>
  <c r="F22" i="48"/>
  <c r="F19" i="57" s="1"/>
  <c r="M22" i="48"/>
  <c r="M19" i="46" s="1"/>
  <c r="J22" i="48"/>
  <c r="J19" i="57" s="1"/>
  <c r="K22" i="48"/>
  <c r="K19" i="57" s="1"/>
  <c r="D22" i="48"/>
  <c r="D19" i="57" s="1"/>
  <c r="I22" i="48"/>
  <c r="I19" i="46" s="1"/>
  <c r="N22" i="48"/>
  <c r="N19" i="46" s="1"/>
  <c r="H21" i="48"/>
  <c r="L21" i="48"/>
  <c r="G21" i="48"/>
  <c r="J21" i="48"/>
  <c r="E21" i="48"/>
  <c r="C21" i="48"/>
  <c r="M21" i="48"/>
  <c r="K21" i="48"/>
  <c r="F21" i="48"/>
  <c r="N21" i="48"/>
  <c r="I21" i="48"/>
  <c r="D21" i="48"/>
  <c r="N27" i="47"/>
  <c r="L27" i="47"/>
  <c r="M27" i="47"/>
  <c r="L26" i="48"/>
  <c r="H26" i="48"/>
  <c r="M26" i="48"/>
  <c r="J26" i="48"/>
  <c r="K26" i="48"/>
  <c r="F26" i="48"/>
  <c r="E26" i="48"/>
  <c r="C26" i="48"/>
  <c r="G26" i="48"/>
  <c r="N26" i="48"/>
  <c r="D26" i="48"/>
  <c r="I26" i="48"/>
  <c r="D8" i="57"/>
  <c r="D8" i="46"/>
  <c r="J8" i="57"/>
  <c r="J8" i="46"/>
  <c r="K8" i="46"/>
  <c r="K8" i="57"/>
  <c r="O14" i="40"/>
  <c r="O17" i="41"/>
  <c r="O19" i="41"/>
  <c r="O16" i="40"/>
  <c r="O17" i="40"/>
  <c r="O20" i="41"/>
  <c r="L8" i="48"/>
  <c r="H8" i="48"/>
  <c r="E8" i="48"/>
  <c r="M8" i="48"/>
  <c r="C8" i="48"/>
  <c r="G8" i="48"/>
  <c r="J8" i="48"/>
  <c r="K8" i="48"/>
  <c r="F8" i="48"/>
  <c r="D8" i="48"/>
  <c r="I8" i="48"/>
  <c r="N8" i="48"/>
  <c r="O14" i="41"/>
  <c r="O11" i="40"/>
  <c r="O9" i="41"/>
  <c r="O6" i="40"/>
  <c r="O17" i="47"/>
  <c r="J25" i="48"/>
  <c r="C25" i="48"/>
  <c r="G25" i="48"/>
  <c r="K25" i="48"/>
  <c r="H25" i="48"/>
  <c r="L25" i="48"/>
  <c r="M25" i="48"/>
  <c r="F25" i="48"/>
  <c r="E25" i="48"/>
  <c r="N25" i="48"/>
  <c r="I25" i="48"/>
  <c r="D25" i="48"/>
  <c r="L9" i="48"/>
  <c r="H9" i="48"/>
  <c r="J9" i="48"/>
  <c r="E9" i="48"/>
  <c r="M9" i="48"/>
  <c r="K9" i="48"/>
  <c r="C9" i="48"/>
  <c r="F9" i="48"/>
  <c r="N9" i="48"/>
  <c r="I9" i="48"/>
  <c r="G9" i="48"/>
  <c r="D9" i="48"/>
  <c r="O13" i="40"/>
  <c r="O16" i="41"/>
  <c r="O18" i="40"/>
  <c r="O21" i="41"/>
  <c r="H28" i="5"/>
  <c r="U25" i="5"/>
  <c r="L25" i="5"/>
  <c r="G20" i="4"/>
  <c r="G15" i="4"/>
  <c r="G17" i="4"/>
  <c r="G12" i="4"/>
  <c r="G14" i="4"/>
  <c r="C27" i="13"/>
  <c r="G22" i="4"/>
  <c r="L20" i="4"/>
  <c r="G27" i="4"/>
  <c r="G18" i="4"/>
  <c r="G26" i="4"/>
  <c r="G9" i="4"/>
  <c r="G24" i="4"/>
  <c r="F28" i="4"/>
  <c r="G19" i="4"/>
  <c r="G16" i="4"/>
  <c r="G8" i="4"/>
  <c r="G13" i="4"/>
  <c r="U20" i="5"/>
  <c r="G43" i="5"/>
  <c r="H43" i="5" s="1"/>
  <c r="L12" i="5"/>
  <c r="Z12" i="5"/>
  <c r="U12" i="5"/>
  <c r="U23" i="5"/>
  <c r="I45" i="5"/>
  <c r="J45" i="5" s="1"/>
  <c r="P17" i="5"/>
  <c r="Z23" i="5"/>
  <c r="U15" i="5"/>
  <c r="U24" i="5"/>
  <c r="Z24" i="5"/>
  <c r="Z15" i="5"/>
  <c r="U11" i="5"/>
  <c r="K8" i="4"/>
  <c r="K14" i="4"/>
  <c r="K18" i="4"/>
  <c r="K16" i="4"/>
  <c r="K22" i="4"/>
  <c r="K11" i="4"/>
  <c r="K19" i="4"/>
  <c r="K17" i="4"/>
  <c r="K27" i="4"/>
  <c r="K23" i="4"/>
  <c r="K13" i="4"/>
  <c r="K24" i="4"/>
  <c r="K25" i="4"/>
  <c r="K12" i="4"/>
  <c r="K21" i="4"/>
  <c r="K9" i="4"/>
  <c r="K26" i="4"/>
  <c r="K10" i="4"/>
  <c r="K15" i="4"/>
  <c r="H27" i="8"/>
  <c r="I27" i="8" s="1"/>
  <c r="F27" i="8"/>
  <c r="U16" i="5"/>
  <c r="Z16" i="5"/>
  <c r="U21" i="5"/>
  <c r="U14" i="5"/>
  <c r="Z14" i="5"/>
  <c r="U26" i="5"/>
  <c r="Z11" i="5"/>
  <c r="Z26" i="5"/>
  <c r="Z21" i="5"/>
  <c r="Z20" i="5"/>
  <c r="Z17" i="5"/>
  <c r="H58" i="5"/>
  <c r="I58" i="5"/>
  <c r="R28" i="5"/>
  <c r="S28" i="5" s="1"/>
  <c r="S8" i="5"/>
  <c r="U8" i="3" s="1"/>
  <c r="H46" i="5"/>
  <c r="I46" i="5"/>
  <c r="Z13" i="5"/>
  <c r="U13" i="5"/>
  <c r="U27" i="5"/>
  <c r="Z27" i="5"/>
  <c r="H53" i="5"/>
  <c r="I53" i="5"/>
  <c r="H57" i="5"/>
  <c r="I57" i="5"/>
  <c r="P25" i="5"/>
  <c r="P24" i="5"/>
  <c r="P22" i="5"/>
  <c r="P20" i="5"/>
  <c r="P16" i="5"/>
  <c r="P15" i="5"/>
  <c r="P27" i="5"/>
  <c r="P9" i="5"/>
  <c r="P8" i="5"/>
  <c r="P10" i="5"/>
  <c r="P11" i="5"/>
  <c r="U18" i="5"/>
  <c r="Z18" i="5"/>
  <c r="H55" i="5"/>
  <c r="I55" i="5"/>
  <c r="H47" i="5"/>
  <c r="I47" i="5"/>
  <c r="I41" i="5"/>
  <c r="H41" i="5"/>
  <c r="H42" i="5"/>
  <c r="I42" i="5"/>
  <c r="U19" i="5"/>
  <c r="Z19" i="5"/>
  <c r="Z9" i="5"/>
  <c r="U9" i="5"/>
  <c r="U10" i="5"/>
  <c r="Z10" i="5"/>
  <c r="H48" i="5"/>
  <c r="I48" i="5"/>
  <c r="H54" i="5"/>
  <c r="I54" i="5"/>
  <c r="H39" i="5"/>
  <c r="I39" i="5"/>
  <c r="H52" i="5"/>
  <c r="I52" i="5"/>
  <c r="U22" i="5"/>
  <c r="Z22" i="5"/>
  <c r="H50" i="5"/>
  <c r="I50" i="5"/>
  <c r="L13" i="5"/>
  <c r="G44" i="5"/>
  <c r="G40" i="5"/>
  <c r="L9" i="5"/>
  <c r="M20" i="4" l="1"/>
  <c r="E19" i="13"/>
  <c r="F19" i="13" s="1"/>
  <c r="E19" i="14"/>
  <c r="F19" i="14" s="1"/>
  <c r="J24" i="40"/>
  <c r="O22" i="40"/>
  <c r="G24" i="40"/>
  <c r="O8" i="40"/>
  <c r="O7" i="41"/>
  <c r="O25" i="41"/>
  <c r="O22" i="41"/>
  <c r="K24" i="40"/>
  <c r="O11" i="41"/>
  <c r="D24" i="40"/>
  <c r="H24" i="40"/>
  <c r="O23" i="41"/>
  <c r="O19" i="40"/>
  <c r="N24" i="40"/>
  <c r="F24" i="40"/>
  <c r="I24" i="40"/>
  <c r="O15" i="41"/>
  <c r="O8" i="41"/>
  <c r="O18" i="41"/>
  <c r="O12" i="40"/>
  <c r="O5" i="40"/>
  <c r="O15" i="40"/>
  <c r="M24" i="40"/>
  <c r="O20" i="40"/>
  <c r="L24" i="40"/>
  <c r="E24" i="40"/>
  <c r="I49" i="5"/>
  <c r="I51" i="5"/>
  <c r="J51" i="5" s="1"/>
  <c r="O18" i="5"/>
  <c r="Q18" i="5" s="1"/>
  <c r="W18" i="3" s="1"/>
  <c r="O21" i="5"/>
  <c r="P21" i="5" s="1"/>
  <c r="N20" i="65"/>
  <c r="O20" i="65" s="1"/>
  <c r="L20" i="65"/>
  <c r="M20" i="65" s="1"/>
  <c r="N18" i="65"/>
  <c r="O18" i="65" s="1"/>
  <c r="L18" i="65"/>
  <c r="M18" i="65" s="1"/>
  <c r="N16" i="65"/>
  <c r="O16" i="65" s="1"/>
  <c r="L16" i="65"/>
  <c r="M16" i="65" s="1"/>
  <c r="L14" i="65"/>
  <c r="M14" i="65" s="1"/>
  <c r="N14" i="65"/>
  <c r="O14" i="65" s="1"/>
  <c r="N27" i="65"/>
  <c r="O27" i="65" s="1"/>
  <c r="L27" i="65"/>
  <c r="M27" i="65" s="1"/>
  <c r="L9" i="65"/>
  <c r="M9" i="65" s="1"/>
  <c r="N9" i="65"/>
  <c r="O9" i="65" s="1"/>
  <c r="N26" i="65"/>
  <c r="O26" i="65" s="1"/>
  <c r="L26" i="65"/>
  <c r="M26" i="65" s="1"/>
  <c r="N24" i="65"/>
  <c r="O24" i="65" s="1"/>
  <c r="L24" i="65"/>
  <c r="M24" i="65" s="1"/>
  <c r="N22" i="65"/>
  <c r="O22" i="65" s="1"/>
  <c r="L22" i="65"/>
  <c r="M22" i="65" s="1"/>
  <c r="N25" i="65"/>
  <c r="O25" i="65" s="1"/>
  <c r="L25" i="65"/>
  <c r="M25" i="65" s="1"/>
  <c r="L17" i="65"/>
  <c r="M17" i="65" s="1"/>
  <c r="N17" i="65"/>
  <c r="O17" i="65" s="1"/>
  <c r="L15" i="65"/>
  <c r="M15" i="65" s="1"/>
  <c r="N15" i="65"/>
  <c r="O15" i="65" s="1"/>
  <c r="N13" i="65"/>
  <c r="O13" i="65" s="1"/>
  <c r="L13" i="65"/>
  <c r="M13" i="65" s="1"/>
  <c r="L11" i="65"/>
  <c r="M11" i="65" s="1"/>
  <c r="N11" i="65"/>
  <c r="O11" i="65" s="1"/>
  <c r="L8" i="65"/>
  <c r="K28" i="65"/>
  <c r="N8" i="65"/>
  <c r="L12" i="65"/>
  <c r="M12" i="65" s="1"/>
  <c r="N12" i="65"/>
  <c r="O12" i="65" s="1"/>
  <c r="L10" i="65"/>
  <c r="M10" i="65" s="1"/>
  <c r="N10" i="65"/>
  <c r="O10" i="65" s="1"/>
  <c r="N23" i="65"/>
  <c r="O23" i="65" s="1"/>
  <c r="L23" i="65"/>
  <c r="M23" i="65" s="1"/>
  <c r="L21" i="65"/>
  <c r="M21" i="65" s="1"/>
  <c r="N21" i="65"/>
  <c r="O21" i="65" s="1"/>
  <c r="N19" i="65"/>
  <c r="O19" i="65" s="1"/>
  <c r="L19" i="65"/>
  <c r="M19" i="65" s="1"/>
  <c r="J28" i="65"/>
  <c r="I56" i="5"/>
  <c r="J56" i="5" s="1"/>
  <c r="C14" i="57"/>
  <c r="K14" i="46"/>
  <c r="F19" i="46"/>
  <c r="M14" i="46"/>
  <c r="D14" i="57"/>
  <c r="F14" i="46"/>
  <c r="L14" i="57"/>
  <c r="N9" i="57"/>
  <c r="H14" i="57"/>
  <c r="K9" i="46"/>
  <c r="J14" i="46"/>
  <c r="J19" i="46"/>
  <c r="M9" i="57"/>
  <c r="I14" i="57"/>
  <c r="N14" i="46"/>
  <c r="N19" i="57"/>
  <c r="L9" i="57"/>
  <c r="E9" i="46"/>
  <c r="G6" i="57"/>
  <c r="G6" i="46"/>
  <c r="C6" i="57"/>
  <c r="O9" i="48"/>
  <c r="C6" i="46"/>
  <c r="J6" i="57"/>
  <c r="J6" i="46"/>
  <c r="I22" i="57"/>
  <c r="I22" i="46"/>
  <c r="M22" i="57"/>
  <c r="M22" i="46"/>
  <c r="G22" i="46"/>
  <c r="G22" i="57"/>
  <c r="D5" i="57"/>
  <c r="D5" i="46"/>
  <c r="G5" i="57"/>
  <c r="G5" i="46"/>
  <c r="H5" i="57"/>
  <c r="H5" i="46"/>
  <c r="I23" i="46"/>
  <c r="I23" i="57"/>
  <c r="C23" i="57"/>
  <c r="C23" i="46"/>
  <c r="O26" i="48"/>
  <c r="J23" i="46"/>
  <c r="J23" i="57"/>
  <c r="N18" i="46"/>
  <c r="N18" i="57"/>
  <c r="C18" i="57"/>
  <c r="C18" i="46"/>
  <c r="O21" i="48"/>
  <c r="L18" i="46"/>
  <c r="L18" i="57"/>
  <c r="G19" i="46"/>
  <c r="N7" i="57"/>
  <c r="N7" i="46"/>
  <c r="G7" i="46"/>
  <c r="G7" i="57"/>
  <c r="E7" i="57"/>
  <c r="E7" i="46"/>
  <c r="D16" i="57"/>
  <c r="D16" i="46"/>
  <c r="G16" i="46"/>
  <c r="G16" i="57"/>
  <c r="M16" i="57"/>
  <c r="M16" i="46"/>
  <c r="N13" i="46"/>
  <c r="N13" i="57"/>
  <c r="J13" i="57"/>
  <c r="J13" i="46"/>
  <c r="K13" i="46"/>
  <c r="K13" i="57"/>
  <c r="O8" i="57"/>
  <c r="C9" i="57"/>
  <c r="O12" i="48"/>
  <c r="I20" i="46"/>
  <c r="I20" i="57"/>
  <c r="J20" i="57"/>
  <c r="J20" i="46"/>
  <c r="M20" i="46"/>
  <c r="M20" i="57"/>
  <c r="D11" i="46"/>
  <c r="D11" i="57"/>
  <c r="F11" i="46"/>
  <c r="F11" i="57"/>
  <c r="J11" i="57"/>
  <c r="J11" i="46"/>
  <c r="L19" i="46"/>
  <c r="F12" i="57"/>
  <c r="F12" i="46"/>
  <c r="K12" i="46"/>
  <c r="K12" i="57"/>
  <c r="L12" i="46"/>
  <c r="L12" i="57"/>
  <c r="G9" i="57"/>
  <c r="G14" i="46"/>
  <c r="D4" i="46"/>
  <c r="D4" i="57"/>
  <c r="D27" i="48"/>
  <c r="J4" i="57"/>
  <c r="J4" i="46"/>
  <c r="J27" i="48"/>
  <c r="L4" i="46"/>
  <c r="L4" i="57"/>
  <c r="L27" i="48"/>
  <c r="N21" i="46"/>
  <c r="N21" i="57"/>
  <c r="J21" i="57"/>
  <c r="J21" i="46"/>
  <c r="C21" i="57"/>
  <c r="C21" i="46"/>
  <c r="O24" i="48"/>
  <c r="I19" i="57"/>
  <c r="D19" i="46"/>
  <c r="N17" i="57"/>
  <c r="N17" i="46"/>
  <c r="C17" i="57"/>
  <c r="O20" i="48"/>
  <c r="C17" i="46"/>
  <c r="L17" i="57"/>
  <c r="L17" i="46"/>
  <c r="D10" i="57"/>
  <c r="D10" i="46"/>
  <c r="E10" i="57"/>
  <c r="E10" i="46"/>
  <c r="H10" i="46"/>
  <c r="H10" i="57"/>
  <c r="D15" i="46"/>
  <c r="D15" i="57"/>
  <c r="K15" i="57"/>
  <c r="K15" i="46"/>
  <c r="H15" i="57"/>
  <c r="H15" i="46"/>
  <c r="J9" i="46"/>
  <c r="I6" i="46"/>
  <c r="I6" i="57"/>
  <c r="K6" i="57"/>
  <c r="K6" i="46"/>
  <c r="H6" i="57"/>
  <c r="H6" i="46"/>
  <c r="N22" i="57"/>
  <c r="N22" i="46"/>
  <c r="L22" i="46"/>
  <c r="L22" i="57"/>
  <c r="C22" i="57"/>
  <c r="O25" i="48"/>
  <c r="C22" i="46"/>
  <c r="F5" i="57"/>
  <c r="F5" i="46"/>
  <c r="C5" i="57"/>
  <c r="O8" i="48"/>
  <c r="C5" i="46"/>
  <c r="L5" i="57"/>
  <c r="L5" i="46"/>
  <c r="D23" i="46"/>
  <c r="D23" i="57"/>
  <c r="E23" i="46"/>
  <c r="E23" i="57"/>
  <c r="M23" i="57"/>
  <c r="M23" i="46"/>
  <c r="F18" i="46"/>
  <c r="F18" i="57"/>
  <c r="E18" i="57"/>
  <c r="E18" i="46"/>
  <c r="H18" i="57"/>
  <c r="H18" i="46"/>
  <c r="K19" i="46"/>
  <c r="I7" i="46"/>
  <c r="I7" i="57"/>
  <c r="C7" i="57"/>
  <c r="O10" i="48"/>
  <c r="C7" i="46"/>
  <c r="M7" i="46"/>
  <c r="M7" i="57"/>
  <c r="I16" i="46"/>
  <c r="I16" i="57"/>
  <c r="C16" i="57"/>
  <c r="O19" i="48"/>
  <c r="C16" i="46"/>
  <c r="J16" i="46"/>
  <c r="J16" i="57"/>
  <c r="D13" i="57"/>
  <c r="D13" i="46"/>
  <c r="E13" i="46"/>
  <c r="E13" i="57"/>
  <c r="H13" i="57"/>
  <c r="H13" i="46"/>
  <c r="D20" i="46"/>
  <c r="D20" i="57"/>
  <c r="E20" i="57"/>
  <c r="E20" i="46"/>
  <c r="K20" i="57"/>
  <c r="K20" i="46"/>
  <c r="N11" i="57"/>
  <c r="N11" i="46"/>
  <c r="G11" i="46"/>
  <c r="G11" i="57"/>
  <c r="H11" i="46"/>
  <c r="H11" i="57"/>
  <c r="E19" i="46"/>
  <c r="N12" i="57"/>
  <c r="N12" i="46"/>
  <c r="G12" i="46"/>
  <c r="G12" i="57"/>
  <c r="J12" i="57"/>
  <c r="J12" i="46"/>
  <c r="O17" i="48"/>
  <c r="F4" i="57"/>
  <c r="F4" i="46"/>
  <c r="F27" i="48"/>
  <c r="E4" i="57"/>
  <c r="E4" i="46"/>
  <c r="E27" i="48"/>
  <c r="H27" i="48"/>
  <c r="H4" i="46"/>
  <c r="H4" i="57"/>
  <c r="I21" i="46"/>
  <c r="I21" i="57"/>
  <c r="M21" i="57"/>
  <c r="M21" i="46"/>
  <c r="L21" i="46"/>
  <c r="L21" i="57"/>
  <c r="H19" i="57"/>
  <c r="I17" i="57"/>
  <c r="I17" i="46"/>
  <c r="J17" i="46"/>
  <c r="J17" i="57"/>
  <c r="F17" i="57"/>
  <c r="F17" i="46"/>
  <c r="I10" i="46"/>
  <c r="I10" i="57"/>
  <c r="J10" i="57"/>
  <c r="J10" i="46"/>
  <c r="C10" i="57"/>
  <c r="O13" i="48"/>
  <c r="C10" i="46"/>
  <c r="I15" i="46"/>
  <c r="I15" i="57"/>
  <c r="E15" i="46"/>
  <c r="E15" i="57"/>
  <c r="J15" i="46"/>
  <c r="J15" i="57"/>
  <c r="O27" i="47"/>
  <c r="N6" i="46"/>
  <c r="N6" i="57"/>
  <c r="M6" i="57"/>
  <c r="M6" i="46"/>
  <c r="L6" i="46"/>
  <c r="L6" i="57"/>
  <c r="E22" i="46"/>
  <c r="E22" i="57"/>
  <c r="H22" i="46"/>
  <c r="H22" i="57"/>
  <c r="J22" i="57"/>
  <c r="J22" i="46"/>
  <c r="N5" i="57"/>
  <c r="N5" i="46"/>
  <c r="K5" i="46"/>
  <c r="K5" i="57"/>
  <c r="M5" i="46"/>
  <c r="M5" i="57"/>
  <c r="N23" i="46"/>
  <c r="N23" i="57"/>
  <c r="F23" i="46"/>
  <c r="F23" i="57"/>
  <c r="H23" i="46"/>
  <c r="H23" i="57"/>
  <c r="D18" i="46"/>
  <c r="D18" i="57"/>
  <c r="K18" i="57"/>
  <c r="K18" i="46"/>
  <c r="J18" i="46"/>
  <c r="J18" i="57"/>
  <c r="C19" i="57"/>
  <c r="O22" i="48"/>
  <c r="C19" i="46"/>
  <c r="D7" i="46"/>
  <c r="D7" i="57"/>
  <c r="K7" i="46"/>
  <c r="K7" i="57"/>
  <c r="L7" i="46"/>
  <c r="L7" i="57"/>
  <c r="N16" i="46"/>
  <c r="N16" i="57"/>
  <c r="E16" i="57"/>
  <c r="E16" i="46"/>
  <c r="L16" i="57"/>
  <c r="L16" i="46"/>
  <c r="I13" i="46"/>
  <c r="I13" i="57"/>
  <c r="G13" i="57"/>
  <c r="G13" i="46"/>
  <c r="M13" i="46"/>
  <c r="M13" i="57"/>
  <c r="F20" i="57"/>
  <c r="F20" i="46"/>
  <c r="H20" i="46"/>
  <c r="H20" i="57"/>
  <c r="L20" i="57"/>
  <c r="L20" i="46"/>
  <c r="M11" i="46"/>
  <c r="M11" i="57"/>
  <c r="C11" i="57"/>
  <c r="C11" i="46"/>
  <c r="O14" i="48"/>
  <c r="L11" i="57"/>
  <c r="L11" i="46"/>
  <c r="M19" i="57"/>
  <c r="I12" i="46"/>
  <c r="I12" i="57"/>
  <c r="C12" i="57"/>
  <c r="O15" i="48"/>
  <c r="C12" i="46"/>
  <c r="M12" i="57"/>
  <c r="M12" i="46"/>
  <c r="D9" i="46"/>
  <c r="H9" i="57"/>
  <c r="O4" i="40"/>
  <c r="C24" i="40"/>
  <c r="I4" i="57"/>
  <c r="I27" i="48"/>
  <c r="I4" i="46"/>
  <c r="G4" i="57"/>
  <c r="G27" i="48"/>
  <c r="G4" i="46"/>
  <c r="M4" i="46"/>
  <c r="M4" i="57"/>
  <c r="M27" i="48"/>
  <c r="F21" i="57"/>
  <c r="F21" i="46"/>
  <c r="E21" i="57"/>
  <c r="E21" i="46"/>
  <c r="H21" i="46"/>
  <c r="H21" i="57"/>
  <c r="D17" i="46"/>
  <c r="D17" i="57"/>
  <c r="M17" i="57"/>
  <c r="M17" i="46"/>
  <c r="K17" i="57"/>
  <c r="K17" i="46"/>
  <c r="N10" i="46"/>
  <c r="N10" i="57"/>
  <c r="M10" i="57"/>
  <c r="M10" i="46"/>
  <c r="K10" i="46"/>
  <c r="K10" i="57"/>
  <c r="N15" i="57"/>
  <c r="N15" i="46"/>
  <c r="C15" i="57"/>
  <c r="C15" i="46"/>
  <c r="O18" i="48"/>
  <c r="M15" i="46"/>
  <c r="M15" i="57"/>
  <c r="F9" i="46"/>
  <c r="I9" i="46"/>
  <c r="D6" i="57"/>
  <c r="D6" i="46"/>
  <c r="F6" i="46"/>
  <c r="F6" i="57"/>
  <c r="E6" i="57"/>
  <c r="E6" i="46"/>
  <c r="D22" i="57"/>
  <c r="D22" i="46"/>
  <c r="F22" i="57"/>
  <c r="F22" i="46"/>
  <c r="K22" i="57"/>
  <c r="K22" i="46"/>
  <c r="I5" i="57"/>
  <c r="I5" i="46"/>
  <c r="J5" i="57"/>
  <c r="J5" i="46"/>
  <c r="E5" i="57"/>
  <c r="E5" i="46"/>
  <c r="G23" i="57"/>
  <c r="G23" i="46"/>
  <c r="K23" i="57"/>
  <c r="K23" i="46"/>
  <c r="L23" i="46"/>
  <c r="L23" i="57"/>
  <c r="I18" i="46"/>
  <c r="I18" i="57"/>
  <c r="M18" i="46"/>
  <c r="M18" i="57"/>
  <c r="G18" i="46"/>
  <c r="G18" i="57"/>
  <c r="F7" i="57"/>
  <c r="F7" i="46"/>
  <c r="J7" i="57"/>
  <c r="J7" i="46"/>
  <c r="H7" i="57"/>
  <c r="H7" i="46"/>
  <c r="F16" i="46"/>
  <c r="F16" i="57"/>
  <c r="K16" i="46"/>
  <c r="K16" i="57"/>
  <c r="H16" i="46"/>
  <c r="H16" i="57"/>
  <c r="F13" i="57"/>
  <c r="F13" i="46"/>
  <c r="C13" i="57"/>
  <c r="O16" i="48"/>
  <c r="C13" i="46"/>
  <c r="L13" i="57"/>
  <c r="L13" i="46"/>
  <c r="O8" i="46"/>
  <c r="N20" i="46"/>
  <c r="N20" i="57"/>
  <c r="G20" i="46"/>
  <c r="G20" i="57"/>
  <c r="O23" i="48"/>
  <c r="C20" i="57"/>
  <c r="C20" i="46"/>
  <c r="I11" i="46"/>
  <c r="I11" i="57"/>
  <c r="E11" i="46"/>
  <c r="E11" i="57"/>
  <c r="K11" i="57"/>
  <c r="K11" i="46"/>
  <c r="D12" i="46"/>
  <c r="D12" i="57"/>
  <c r="E12" i="57"/>
  <c r="E12" i="46"/>
  <c r="H12" i="46"/>
  <c r="H12" i="57"/>
  <c r="E14" i="46"/>
  <c r="N27" i="48"/>
  <c r="N4" i="46"/>
  <c r="N4" i="57"/>
  <c r="C4" i="57"/>
  <c r="C4" i="46"/>
  <c r="C27" i="48"/>
  <c r="O7" i="48"/>
  <c r="K4" i="57"/>
  <c r="K27" i="48"/>
  <c r="K4" i="46"/>
  <c r="D21" i="46"/>
  <c r="D21" i="57"/>
  <c r="K21" i="46"/>
  <c r="K21" i="57"/>
  <c r="G21" i="57"/>
  <c r="G21" i="46"/>
  <c r="G17" i="57"/>
  <c r="G17" i="46"/>
  <c r="E17" i="46"/>
  <c r="E17" i="57"/>
  <c r="H17" i="46"/>
  <c r="H17" i="57"/>
  <c r="F10" i="46"/>
  <c r="F10" i="57"/>
  <c r="G10" i="57"/>
  <c r="G10" i="46"/>
  <c r="L10" i="57"/>
  <c r="L10" i="46"/>
  <c r="G15" i="46"/>
  <c r="G15" i="57"/>
  <c r="F15" i="46"/>
  <c r="F15" i="57"/>
  <c r="L15" i="46"/>
  <c r="L15" i="57"/>
  <c r="C9" i="46"/>
  <c r="O14" i="5"/>
  <c r="P14" i="5" s="1"/>
  <c r="O26" i="5"/>
  <c r="Q26" i="5" s="1"/>
  <c r="W26" i="3" s="1"/>
  <c r="G59" i="5"/>
  <c r="H59" i="5" s="1"/>
  <c r="O13" i="5"/>
  <c r="P13" i="5" s="1"/>
  <c r="O28" i="5"/>
  <c r="O23" i="5"/>
  <c r="P23" i="5" s="1"/>
  <c r="P19" i="5"/>
  <c r="I43" i="5"/>
  <c r="J43" i="5" s="1"/>
  <c r="O20" i="4"/>
  <c r="P20" i="4" s="1"/>
  <c r="L10" i="4"/>
  <c r="L23" i="4"/>
  <c r="L14" i="4"/>
  <c r="L26" i="4"/>
  <c r="L25" i="4"/>
  <c r="L27" i="4"/>
  <c r="L22" i="4"/>
  <c r="L8" i="4"/>
  <c r="L12" i="4"/>
  <c r="L11" i="4"/>
  <c r="L9" i="4"/>
  <c r="L24" i="4"/>
  <c r="L17" i="4"/>
  <c r="L16" i="4"/>
  <c r="L15" i="4"/>
  <c r="L21" i="4"/>
  <c r="L13" i="4"/>
  <c r="L19" i="4"/>
  <c r="L18" i="4"/>
  <c r="G28" i="4"/>
  <c r="N20" i="4"/>
  <c r="K28" i="4"/>
  <c r="I13" i="8"/>
  <c r="I18" i="8"/>
  <c r="I24" i="8"/>
  <c r="I14" i="8"/>
  <c r="I9" i="8"/>
  <c r="I8" i="8"/>
  <c r="I11" i="8"/>
  <c r="I26" i="8"/>
  <c r="I20" i="8"/>
  <c r="I17" i="8"/>
  <c r="I23" i="8"/>
  <c r="I19" i="8"/>
  <c r="I16" i="8"/>
  <c r="I10" i="8"/>
  <c r="I22" i="8"/>
  <c r="I7" i="8"/>
  <c r="B7" i="38" s="1"/>
  <c r="I21" i="8"/>
  <c r="I15" i="8"/>
  <c r="I25" i="8"/>
  <c r="I12" i="8"/>
  <c r="J49" i="5"/>
  <c r="J41" i="5"/>
  <c r="Q10" i="5"/>
  <c r="W10" i="3" s="1"/>
  <c r="J46" i="5"/>
  <c r="J48" i="5"/>
  <c r="Q9" i="5"/>
  <c r="W9" i="3" s="1"/>
  <c r="Q20" i="5"/>
  <c r="W20" i="3" s="1"/>
  <c r="J47" i="5"/>
  <c r="J39" i="5"/>
  <c r="J42" i="5"/>
  <c r="J57" i="5"/>
  <c r="Q16" i="5"/>
  <c r="W16" i="3" s="1"/>
  <c r="J52" i="5"/>
  <c r="J55" i="5"/>
  <c r="J53" i="5"/>
  <c r="Q24" i="5"/>
  <c r="W24" i="3" s="1"/>
  <c r="Q25" i="5"/>
  <c r="W25" i="3" s="1"/>
  <c r="H44" i="5"/>
  <c r="I44" i="5"/>
  <c r="J50" i="5"/>
  <c r="J54" i="5"/>
  <c r="Q22" i="5"/>
  <c r="W22" i="3" s="1"/>
  <c r="P12" i="5"/>
  <c r="Q12" i="5"/>
  <c r="W12" i="3" s="1"/>
  <c r="Q17" i="5"/>
  <c r="W17" i="3" s="1"/>
  <c r="Q15" i="5"/>
  <c r="W15" i="3" s="1"/>
  <c r="Q8" i="5"/>
  <c r="W8" i="3" s="1"/>
  <c r="Q11" i="5"/>
  <c r="W11" i="3" s="1"/>
  <c r="Q19" i="5"/>
  <c r="W19" i="3" s="1"/>
  <c r="Z8" i="5"/>
  <c r="Z28" i="5" s="1"/>
  <c r="U8" i="5"/>
  <c r="U28" i="5" s="1"/>
  <c r="H40" i="5"/>
  <c r="I40" i="5"/>
  <c r="L28" i="5"/>
  <c r="Q27" i="5"/>
  <c r="W27" i="3" s="1"/>
  <c r="J58" i="5"/>
  <c r="O18" i="4" l="1"/>
  <c r="P18" i="4" s="1"/>
  <c r="E17" i="13"/>
  <c r="F17" i="13" s="1"/>
  <c r="E17" i="14"/>
  <c r="F17" i="14" s="1"/>
  <c r="O13" i="4"/>
  <c r="P13" i="4" s="1"/>
  <c r="E12" i="14"/>
  <c r="F12" i="14" s="1"/>
  <c r="E12" i="13"/>
  <c r="F12" i="13" s="1"/>
  <c r="O17" i="4"/>
  <c r="P17" i="4" s="1"/>
  <c r="E16" i="13"/>
  <c r="F16" i="13" s="1"/>
  <c r="E16" i="14"/>
  <c r="F16" i="14" s="1"/>
  <c r="O12" i="4"/>
  <c r="P12" i="4" s="1"/>
  <c r="E11" i="13"/>
  <c r="F11" i="13" s="1"/>
  <c r="E11" i="14"/>
  <c r="F11" i="14" s="1"/>
  <c r="O25" i="4"/>
  <c r="P25" i="4" s="1"/>
  <c r="E24" i="14"/>
  <c r="F24" i="14" s="1"/>
  <c r="E24" i="13"/>
  <c r="F24" i="13" s="1"/>
  <c r="O10" i="4"/>
  <c r="P10" i="4" s="1"/>
  <c r="E9" i="13"/>
  <c r="F9" i="13" s="1"/>
  <c r="E9" i="14"/>
  <c r="F9" i="14" s="1"/>
  <c r="O22" i="4"/>
  <c r="P22" i="4" s="1"/>
  <c r="E21" i="13"/>
  <c r="F21" i="13" s="1"/>
  <c r="E21" i="14"/>
  <c r="F21" i="14" s="1"/>
  <c r="E20" i="13"/>
  <c r="F20" i="13" s="1"/>
  <c r="E20" i="14"/>
  <c r="F20" i="14" s="1"/>
  <c r="O24" i="4"/>
  <c r="P24" i="4" s="1"/>
  <c r="E23" i="13"/>
  <c r="F23" i="13" s="1"/>
  <c r="E23" i="14"/>
  <c r="F23" i="14" s="1"/>
  <c r="O8" i="4"/>
  <c r="P8" i="4" s="1"/>
  <c r="E7" i="13"/>
  <c r="F7" i="13" s="1"/>
  <c r="E7" i="14"/>
  <c r="O26" i="4"/>
  <c r="P26" i="4" s="1"/>
  <c r="E25" i="13"/>
  <c r="F25" i="13" s="1"/>
  <c r="E25" i="14"/>
  <c r="F25" i="14" s="1"/>
  <c r="O15" i="4"/>
  <c r="P15" i="4" s="1"/>
  <c r="E14" i="13"/>
  <c r="F14" i="13" s="1"/>
  <c r="E14" i="14"/>
  <c r="F14" i="14" s="1"/>
  <c r="O9" i="4"/>
  <c r="P9" i="4" s="1"/>
  <c r="E8" i="13"/>
  <c r="F8" i="13" s="1"/>
  <c r="E8" i="14"/>
  <c r="F8" i="14" s="1"/>
  <c r="O14" i="4"/>
  <c r="P14" i="4" s="1"/>
  <c r="E13" i="13"/>
  <c r="F13" i="13" s="1"/>
  <c r="E13" i="14"/>
  <c r="F13" i="14" s="1"/>
  <c r="O19" i="4"/>
  <c r="P19" i="4" s="1"/>
  <c r="E18" i="13"/>
  <c r="F18" i="13" s="1"/>
  <c r="E18" i="14"/>
  <c r="F18" i="14" s="1"/>
  <c r="O16" i="4"/>
  <c r="P16" i="4" s="1"/>
  <c r="E15" i="13"/>
  <c r="F15" i="13" s="1"/>
  <c r="E15" i="14"/>
  <c r="F15" i="14" s="1"/>
  <c r="O11" i="4"/>
  <c r="P11" i="4" s="1"/>
  <c r="E10" i="13"/>
  <c r="F10" i="13" s="1"/>
  <c r="E10" i="14"/>
  <c r="F10" i="14" s="1"/>
  <c r="E26" i="13"/>
  <c r="F26" i="13" s="1"/>
  <c r="E26" i="14"/>
  <c r="F26" i="14" s="1"/>
  <c r="E22" i="13"/>
  <c r="F22" i="13" s="1"/>
  <c r="E22" i="14"/>
  <c r="F22" i="14" s="1"/>
  <c r="O27" i="41"/>
  <c r="O24" i="40"/>
  <c r="Q21" i="5"/>
  <c r="W21" i="3" s="1"/>
  <c r="P18" i="5"/>
  <c r="O8" i="65"/>
  <c r="O28" i="65" s="1"/>
  <c r="P8" i="65" s="1"/>
  <c r="N28" i="65"/>
  <c r="L28" i="65"/>
  <c r="M28" i="65" s="1"/>
  <c r="M8" i="65"/>
  <c r="B17" i="35"/>
  <c r="B21" i="35"/>
  <c r="B11" i="35"/>
  <c r="B23" i="35"/>
  <c r="B26" i="35"/>
  <c r="B24" i="35"/>
  <c r="B15" i="35"/>
  <c r="B10" i="35"/>
  <c r="B14" i="35"/>
  <c r="B19" i="35"/>
  <c r="B22" i="35"/>
  <c r="B25" i="35"/>
  <c r="B18" i="35"/>
  <c r="B9" i="35"/>
  <c r="O14" i="46"/>
  <c r="O14" i="57"/>
  <c r="P26" i="5"/>
  <c r="O9" i="46"/>
  <c r="N24" i="57"/>
  <c r="K24" i="46"/>
  <c r="O27" i="48"/>
  <c r="N24" i="46"/>
  <c r="O20" i="57"/>
  <c r="O19" i="46"/>
  <c r="O20" i="46"/>
  <c r="X18" i="3"/>
  <c r="B17" i="38"/>
  <c r="X13" i="3"/>
  <c r="B12" i="38"/>
  <c r="E7" i="38"/>
  <c r="D4" i="37" s="1"/>
  <c r="G7" i="38"/>
  <c r="F4" i="37" s="1"/>
  <c r="I7" i="38"/>
  <c r="H4" i="37" s="1"/>
  <c r="M7" i="38"/>
  <c r="L4" i="37" s="1"/>
  <c r="F7" i="38"/>
  <c r="E4" i="37" s="1"/>
  <c r="J7" i="38"/>
  <c r="I4" i="37" s="1"/>
  <c r="H7" i="38"/>
  <c r="G4" i="37" s="1"/>
  <c r="N7" i="38"/>
  <c r="M4" i="37" s="1"/>
  <c r="C7" i="38"/>
  <c r="B4" i="37" s="1"/>
  <c r="K7" i="38"/>
  <c r="J4" i="37" s="1"/>
  <c r="D7" i="38"/>
  <c r="C4" i="37" s="1"/>
  <c r="L7" i="38"/>
  <c r="K4" i="37" s="1"/>
  <c r="X20" i="3"/>
  <c r="B19" i="38"/>
  <c r="X27" i="3"/>
  <c r="B26" i="38"/>
  <c r="X15" i="3"/>
  <c r="B14" i="38"/>
  <c r="K24" i="57"/>
  <c r="O4" i="57"/>
  <c r="C24" i="57"/>
  <c r="O15" i="46"/>
  <c r="M24" i="46"/>
  <c r="I24" i="46"/>
  <c r="O19" i="57"/>
  <c r="O10" i="57"/>
  <c r="O7" i="57"/>
  <c r="O5" i="57"/>
  <c r="O21" i="57"/>
  <c r="D24" i="57"/>
  <c r="O23" i="46"/>
  <c r="X26" i="3"/>
  <c r="B25" i="38"/>
  <c r="X23" i="3"/>
  <c r="B22" i="38"/>
  <c r="X24" i="3"/>
  <c r="B23" i="38"/>
  <c r="X12" i="3"/>
  <c r="B11" i="38"/>
  <c r="X25" i="3"/>
  <c r="B24" i="38"/>
  <c r="O13" i="57"/>
  <c r="O15" i="57"/>
  <c r="G24" i="46"/>
  <c r="O12" i="46"/>
  <c r="F24" i="46"/>
  <c r="O16" i="57"/>
  <c r="O22" i="57"/>
  <c r="O17" i="57"/>
  <c r="J24" i="46"/>
  <c r="D24" i="46"/>
  <c r="O9" i="57"/>
  <c r="O18" i="46"/>
  <c r="O23" i="57"/>
  <c r="O6" i="57"/>
  <c r="X16" i="3"/>
  <c r="B15" i="38"/>
  <c r="I24" i="57"/>
  <c r="O11" i="46"/>
  <c r="O10" i="46"/>
  <c r="H24" i="57"/>
  <c r="E24" i="46"/>
  <c r="F24" i="57"/>
  <c r="O7" i="46"/>
  <c r="O5" i="46"/>
  <c r="L24" i="57"/>
  <c r="J24" i="57"/>
  <c r="O18" i="57"/>
  <c r="X11" i="3"/>
  <c r="B10" i="38"/>
  <c r="X9" i="3"/>
  <c r="B8" i="38"/>
  <c r="X19" i="3"/>
  <c r="B18" i="38"/>
  <c r="X22" i="3"/>
  <c r="B21" i="38"/>
  <c r="X17" i="3"/>
  <c r="B16" i="38"/>
  <c r="X21" i="3"/>
  <c r="B20" i="38"/>
  <c r="X10" i="3"/>
  <c r="B9" i="38"/>
  <c r="X14" i="3"/>
  <c r="B13" i="38"/>
  <c r="O4" i="46"/>
  <c r="C24" i="46"/>
  <c r="O13" i="46"/>
  <c r="M24" i="57"/>
  <c r="G24" i="57"/>
  <c r="O12" i="57"/>
  <c r="O11" i="57"/>
  <c r="H24" i="46"/>
  <c r="E24" i="57"/>
  <c r="O16" i="46"/>
  <c r="O22" i="46"/>
  <c r="O17" i="46"/>
  <c r="O21" i="46"/>
  <c r="L24" i="46"/>
  <c r="O6" i="46"/>
  <c r="Q13" i="5"/>
  <c r="W13" i="3" s="1"/>
  <c r="Q14" i="5"/>
  <c r="W14" i="3" s="1"/>
  <c r="Q23" i="5"/>
  <c r="W23" i="3" s="1"/>
  <c r="X8" i="3"/>
  <c r="J7" i="8"/>
  <c r="M9" i="4"/>
  <c r="N9" i="4" s="1"/>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8" i="8"/>
  <c r="K8" i="8" s="1"/>
  <c r="Y9" i="3" s="1"/>
  <c r="L13" i="8"/>
  <c r="N13" i="8" s="1"/>
  <c r="J13" i="8"/>
  <c r="K13" i="8" s="1"/>
  <c r="Y14" i="3" s="1"/>
  <c r="J24" i="8"/>
  <c r="K24" i="8" s="1"/>
  <c r="Y25" i="3" s="1"/>
  <c r="L18" i="8"/>
  <c r="N18" i="8" s="1"/>
  <c r="J18" i="8"/>
  <c r="K18" i="8" s="1"/>
  <c r="Y19" i="3" s="1"/>
  <c r="L11" i="8"/>
  <c r="N11" i="8" s="1"/>
  <c r="L24" i="8"/>
  <c r="N24" i="8" s="1"/>
  <c r="L7" i="8"/>
  <c r="N7" i="8" s="1"/>
  <c r="J14" i="8"/>
  <c r="K14" i="8" s="1"/>
  <c r="Y15" i="3" s="1"/>
  <c r="L23" i="8"/>
  <c r="N23" i="8" s="1"/>
  <c r="L14" i="8"/>
  <c r="N14" i="8" s="1"/>
  <c r="J10" i="8"/>
  <c r="K10" i="8" s="1"/>
  <c r="Y11" i="3" s="1"/>
  <c r="J26" i="8"/>
  <c r="K26" i="8" s="1"/>
  <c r="Y27" i="3" s="1"/>
  <c r="L16" i="8"/>
  <c r="N16" i="8" s="1"/>
  <c r="J12" i="8"/>
  <c r="K12" i="8" s="1"/>
  <c r="Y13" i="3" s="1"/>
  <c r="L26" i="8"/>
  <c r="N26" i="8" s="1"/>
  <c r="J19" i="8"/>
  <c r="K19" i="8" s="1"/>
  <c r="Y20" i="3" s="1"/>
  <c r="J11" i="8"/>
  <c r="K11" i="8" s="1"/>
  <c r="Y12" i="3" s="1"/>
  <c r="J23" i="8"/>
  <c r="K23" i="8" s="1"/>
  <c r="Y24" i="3" s="1"/>
  <c r="L9" i="8"/>
  <c r="N9" i="8" s="1"/>
  <c r="L17" i="8"/>
  <c r="N17" i="8" s="1"/>
  <c r="J9" i="8"/>
  <c r="K9" i="8" s="1"/>
  <c r="Y10" i="3" s="1"/>
  <c r="L15" i="8"/>
  <c r="N15" i="8" s="1"/>
  <c r="J17" i="8"/>
  <c r="K17" i="8" s="1"/>
  <c r="Y18" i="3" s="1"/>
  <c r="L8" i="8"/>
  <c r="N8" i="8" s="1"/>
  <c r="J20" i="8"/>
  <c r="K20" i="8" s="1"/>
  <c r="Y21" i="3" s="1"/>
  <c r="L20" i="8"/>
  <c r="N20" i="8" s="1"/>
  <c r="J16" i="8"/>
  <c r="K16" i="8" s="1"/>
  <c r="Y17" i="3" s="1"/>
  <c r="J22" i="8"/>
  <c r="K22" i="8" s="1"/>
  <c r="Y23" i="3" s="1"/>
  <c r="L22" i="8"/>
  <c r="N22" i="8" s="1"/>
  <c r="L19" i="8"/>
  <c r="N19" i="8" s="1"/>
  <c r="L10" i="8"/>
  <c r="N10" i="8" s="1"/>
  <c r="J25" i="8"/>
  <c r="K25" i="8" s="1"/>
  <c r="Y26" i="3" s="1"/>
  <c r="L25" i="8"/>
  <c r="N25" i="8" s="1"/>
  <c r="J15" i="8"/>
  <c r="K15" i="8" s="1"/>
  <c r="Y16" i="3" s="1"/>
  <c r="J21" i="8"/>
  <c r="K21" i="8" s="1"/>
  <c r="Y22" i="3" s="1"/>
  <c r="L12" i="8"/>
  <c r="N12" i="8" s="1"/>
  <c r="L21" i="8"/>
  <c r="N21" i="8" s="1"/>
  <c r="J44" i="5"/>
  <c r="I59" i="5"/>
  <c r="J40" i="5"/>
  <c r="F27" i="13" l="1"/>
  <c r="E27" i="13"/>
  <c r="E27" i="14"/>
  <c r="F7" i="14"/>
  <c r="F27" i="14" s="1"/>
  <c r="P28" i="5"/>
  <c r="P27" i="65"/>
  <c r="Q27" i="65" s="1"/>
  <c r="P18" i="65"/>
  <c r="P26" i="65"/>
  <c r="Q26" i="65" s="1"/>
  <c r="P24" i="65"/>
  <c r="P10" i="65"/>
  <c r="P15" i="65"/>
  <c r="P20" i="65"/>
  <c r="P22" i="65"/>
  <c r="P12" i="65"/>
  <c r="P25" i="65"/>
  <c r="P21" i="65"/>
  <c r="P11" i="65"/>
  <c r="P16" i="65"/>
  <c r="P13" i="65"/>
  <c r="P17" i="65"/>
  <c r="P14" i="65"/>
  <c r="P23" i="65"/>
  <c r="Q8" i="65"/>
  <c r="R8" i="65" s="1"/>
  <c r="S8" i="65" s="1"/>
  <c r="P9" i="65"/>
  <c r="P19" i="65"/>
  <c r="B13" i="35"/>
  <c r="J19" i="35"/>
  <c r="H19" i="35"/>
  <c r="N19" i="35"/>
  <c r="L19" i="35"/>
  <c r="I19" i="35"/>
  <c r="D19" i="35"/>
  <c r="G19" i="35"/>
  <c r="F19" i="35"/>
  <c r="M19" i="35"/>
  <c r="E19" i="35"/>
  <c r="K19" i="35"/>
  <c r="C19" i="35"/>
  <c r="N23" i="35"/>
  <c r="J23" i="35"/>
  <c r="H23" i="35"/>
  <c r="I23" i="35"/>
  <c r="G23" i="35"/>
  <c r="E23" i="35"/>
  <c r="L23" i="35"/>
  <c r="D23" i="35"/>
  <c r="M23" i="35"/>
  <c r="K23" i="35"/>
  <c r="F23" i="35"/>
  <c r="C23" i="35"/>
  <c r="B16" i="35"/>
  <c r="H9" i="35"/>
  <c r="J9" i="35"/>
  <c r="N9" i="35"/>
  <c r="E9" i="35"/>
  <c r="F9" i="35"/>
  <c r="D9" i="35"/>
  <c r="M9" i="35"/>
  <c r="C9" i="35"/>
  <c r="I9" i="35"/>
  <c r="G9" i="35"/>
  <c r="K9" i="35"/>
  <c r="L9" i="35"/>
  <c r="N10" i="35"/>
  <c r="J10" i="35"/>
  <c r="H10" i="35"/>
  <c r="I10" i="35"/>
  <c r="L10" i="35"/>
  <c r="M10" i="35"/>
  <c r="C10" i="35"/>
  <c r="F10" i="35"/>
  <c r="D10" i="35"/>
  <c r="G10" i="35"/>
  <c r="E10" i="35"/>
  <c r="K10" i="35"/>
  <c r="H21" i="35"/>
  <c r="J21" i="35"/>
  <c r="N21" i="35"/>
  <c r="C21" i="35"/>
  <c r="E21" i="35"/>
  <c r="D21" i="35"/>
  <c r="G21" i="35"/>
  <c r="K21" i="35"/>
  <c r="L21" i="35"/>
  <c r="I21" i="35"/>
  <c r="F21" i="35"/>
  <c r="M21" i="35"/>
  <c r="B20" i="35"/>
  <c r="N18" i="35"/>
  <c r="J18" i="35"/>
  <c r="H18" i="35"/>
  <c r="F18" i="35"/>
  <c r="D18" i="35"/>
  <c r="G18" i="35"/>
  <c r="C18" i="35"/>
  <c r="L18" i="35"/>
  <c r="K18" i="35"/>
  <c r="M18" i="35"/>
  <c r="I18" i="35"/>
  <c r="E18" i="35"/>
  <c r="J22" i="35"/>
  <c r="H22" i="35"/>
  <c r="N22" i="35"/>
  <c r="E22" i="35"/>
  <c r="K22" i="35"/>
  <c r="C22" i="35"/>
  <c r="D22" i="35"/>
  <c r="M22" i="35"/>
  <c r="I22" i="35"/>
  <c r="G22" i="35"/>
  <c r="L22" i="35"/>
  <c r="F22" i="35"/>
  <c r="J14" i="35"/>
  <c r="H14" i="35"/>
  <c r="N14" i="35"/>
  <c r="D14" i="35"/>
  <c r="M14" i="35"/>
  <c r="L14" i="35"/>
  <c r="I14" i="35"/>
  <c r="G14" i="35"/>
  <c r="E14" i="35"/>
  <c r="F14" i="35"/>
  <c r="K14" i="35"/>
  <c r="C14" i="35"/>
  <c r="H15" i="35"/>
  <c r="N15" i="35"/>
  <c r="J15" i="35"/>
  <c r="E15" i="35"/>
  <c r="C15" i="35"/>
  <c r="K15" i="35"/>
  <c r="F15" i="35"/>
  <c r="M15" i="35"/>
  <c r="I15" i="35"/>
  <c r="G15" i="35"/>
  <c r="L15" i="35"/>
  <c r="D15" i="35"/>
  <c r="J26" i="35"/>
  <c r="N26" i="35"/>
  <c r="H26" i="35"/>
  <c r="M26" i="35"/>
  <c r="L26" i="35"/>
  <c r="F26" i="35"/>
  <c r="I26" i="35"/>
  <c r="D26" i="35"/>
  <c r="G26" i="35"/>
  <c r="E26" i="35"/>
  <c r="K26" i="35"/>
  <c r="C26" i="35"/>
  <c r="H11" i="35"/>
  <c r="J11" i="35"/>
  <c r="N11" i="35"/>
  <c r="K11" i="35"/>
  <c r="I11" i="35"/>
  <c r="E11" i="35"/>
  <c r="D11" i="35"/>
  <c r="M11" i="35"/>
  <c r="G11" i="35"/>
  <c r="L11" i="35"/>
  <c r="C11" i="35"/>
  <c r="F11" i="35"/>
  <c r="H17" i="35"/>
  <c r="J17" i="35"/>
  <c r="N17" i="35"/>
  <c r="M17" i="35"/>
  <c r="K17" i="35"/>
  <c r="F17" i="35"/>
  <c r="E17" i="35"/>
  <c r="D17" i="35"/>
  <c r="I17" i="35"/>
  <c r="C17" i="35"/>
  <c r="L17" i="35"/>
  <c r="G17" i="35"/>
  <c r="B12" i="35"/>
  <c r="N25" i="35"/>
  <c r="J25" i="35"/>
  <c r="H25" i="35"/>
  <c r="L25" i="35"/>
  <c r="K25" i="35"/>
  <c r="G25" i="35"/>
  <c r="F25" i="35"/>
  <c r="I25" i="35"/>
  <c r="M25" i="35"/>
  <c r="D25" i="35"/>
  <c r="C25" i="35"/>
  <c r="E25" i="35"/>
  <c r="H24" i="35"/>
  <c r="J24" i="35"/>
  <c r="N24" i="35"/>
  <c r="D24" i="35"/>
  <c r="I24" i="35"/>
  <c r="E24" i="35"/>
  <c r="K24" i="35"/>
  <c r="C24" i="35"/>
  <c r="M24" i="35"/>
  <c r="G24" i="35"/>
  <c r="L24" i="35"/>
  <c r="F24" i="35"/>
  <c r="B8" i="35"/>
  <c r="J11" i="38"/>
  <c r="I8" i="37" s="1"/>
  <c r="M11" i="38"/>
  <c r="L8" i="37" s="1"/>
  <c r="N11" i="38"/>
  <c r="M8" i="37" s="1"/>
  <c r="H11" i="38"/>
  <c r="G8" i="37" s="1"/>
  <c r="C11" i="38"/>
  <c r="B8" i="37" s="1"/>
  <c r="K11" i="38"/>
  <c r="J8" i="37" s="1"/>
  <c r="D11" i="38"/>
  <c r="C8" i="37" s="1"/>
  <c r="L11" i="38"/>
  <c r="K8" i="37" s="1"/>
  <c r="I11" i="38"/>
  <c r="H8" i="37" s="1"/>
  <c r="F11" i="38"/>
  <c r="E8" i="37" s="1"/>
  <c r="E11" i="38"/>
  <c r="D8" i="37" s="1"/>
  <c r="G11" i="38"/>
  <c r="F8" i="37" s="1"/>
  <c r="C22" i="38"/>
  <c r="B19" i="37" s="1"/>
  <c r="K22" i="38"/>
  <c r="J19" i="37" s="1"/>
  <c r="H22" i="38"/>
  <c r="G19" i="37" s="1"/>
  <c r="I22" i="38"/>
  <c r="H19" i="37" s="1"/>
  <c r="G22" i="38"/>
  <c r="F19" i="37" s="1"/>
  <c r="D22" i="38"/>
  <c r="C19" i="37" s="1"/>
  <c r="L22" i="38"/>
  <c r="K19" i="37" s="1"/>
  <c r="F22" i="38"/>
  <c r="E19" i="37" s="1"/>
  <c r="E22" i="38"/>
  <c r="D19" i="37" s="1"/>
  <c r="N22" i="38"/>
  <c r="M19" i="37" s="1"/>
  <c r="J22" i="38"/>
  <c r="I19" i="37" s="1"/>
  <c r="M22" i="38"/>
  <c r="L19" i="37" s="1"/>
  <c r="F12" i="38"/>
  <c r="E9" i="37" s="1"/>
  <c r="N12" i="38"/>
  <c r="M9" i="37" s="1"/>
  <c r="E12" i="38"/>
  <c r="D9" i="37" s="1"/>
  <c r="H12" i="38"/>
  <c r="G9" i="37" s="1"/>
  <c r="C12" i="38"/>
  <c r="B9" i="37" s="1"/>
  <c r="K12" i="38"/>
  <c r="J9" i="37" s="1"/>
  <c r="I12" i="38"/>
  <c r="H9" i="37" s="1"/>
  <c r="J12" i="38"/>
  <c r="I9" i="37" s="1"/>
  <c r="G12" i="38"/>
  <c r="F9" i="37" s="1"/>
  <c r="D12" i="38"/>
  <c r="C9" i="37" s="1"/>
  <c r="L12" i="38"/>
  <c r="K9" i="37" s="1"/>
  <c r="M12" i="38"/>
  <c r="L9" i="37" s="1"/>
  <c r="O24" i="46"/>
  <c r="F9" i="38"/>
  <c r="E6" i="37" s="1"/>
  <c r="N9" i="38"/>
  <c r="M6" i="37" s="1"/>
  <c r="I9" i="38"/>
  <c r="H6" i="37" s="1"/>
  <c r="H9" i="38"/>
  <c r="G6" i="37" s="1"/>
  <c r="G9" i="38"/>
  <c r="F6" i="37" s="1"/>
  <c r="J9" i="38"/>
  <c r="I6" i="37" s="1"/>
  <c r="E9" i="38"/>
  <c r="D6" i="37" s="1"/>
  <c r="C9" i="38"/>
  <c r="B6" i="37" s="1"/>
  <c r="K9" i="38"/>
  <c r="J6" i="37" s="1"/>
  <c r="D9" i="38"/>
  <c r="C6" i="37" s="1"/>
  <c r="L9" i="38"/>
  <c r="K6" i="37" s="1"/>
  <c r="M9" i="38"/>
  <c r="L6" i="37" s="1"/>
  <c r="H16" i="38"/>
  <c r="G13" i="37" s="1"/>
  <c r="E16" i="38"/>
  <c r="D13" i="37" s="1"/>
  <c r="C16" i="38"/>
  <c r="B13" i="37" s="1"/>
  <c r="K16" i="38"/>
  <c r="J13" i="37" s="1"/>
  <c r="D16" i="38"/>
  <c r="C13" i="37" s="1"/>
  <c r="L16" i="38"/>
  <c r="K13" i="37" s="1"/>
  <c r="J16" i="38"/>
  <c r="I13" i="37" s="1"/>
  <c r="M16" i="38"/>
  <c r="L13" i="37" s="1"/>
  <c r="F16" i="38"/>
  <c r="E13" i="37" s="1"/>
  <c r="N16" i="38"/>
  <c r="M13" i="37" s="1"/>
  <c r="G16" i="38"/>
  <c r="F13" i="37" s="1"/>
  <c r="I16" i="38"/>
  <c r="H13" i="37" s="1"/>
  <c r="F18" i="38"/>
  <c r="E15" i="37" s="1"/>
  <c r="J18" i="38"/>
  <c r="I15" i="37" s="1"/>
  <c r="H18" i="38"/>
  <c r="G15" i="37" s="1"/>
  <c r="D18" i="38"/>
  <c r="C15" i="37" s="1"/>
  <c r="L18" i="38"/>
  <c r="K15" i="37" s="1"/>
  <c r="N18" i="38"/>
  <c r="M15" i="37" s="1"/>
  <c r="C18" i="38"/>
  <c r="B15" i="37" s="1"/>
  <c r="K18" i="38"/>
  <c r="J15" i="37" s="1"/>
  <c r="E18" i="38"/>
  <c r="D15" i="37" s="1"/>
  <c r="M18" i="38"/>
  <c r="L15" i="37" s="1"/>
  <c r="G18" i="38"/>
  <c r="F15" i="37" s="1"/>
  <c r="I18" i="38"/>
  <c r="H15" i="37" s="1"/>
  <c r="J10" i="38"/>
  <c r="I7" i="37" s="1"/>
  <c r="N10" i="38"/>
  <c r="M7" i="37" s="1"/>
  <c r="C10" i="38"/>
  <c r="B7" i="37" s="1"/>
  <c r="K10" i="38"/>
  <c r="J7" i="37" s="1"/>
  <c r="D10" i="38"/>
  <c r="C7" i="37" s="1"/>
  <c r="L10" i="38"/>
  <c r="K7" i="37" s="1"/>
  <c r="F10" i="38"/>
  <c r="E7" i="37" s="1"/>
  <c r="H10" i="38"/>
  <c r="G7" i="37" s="1"/>
  <c r="I10" i="38"/>
  <c r="H7" i="37" s="1"/>
  <c r="G10" i="38"/>
  <c r="F7" i="37" s="1"/>
  <c r="M10" i="38"/>
  <c r="L7" i="37" s="1"/>
  <c r="E10" i="38"/>
  <c r="D7" i="37" s="1"/>
  <c r="J14" i="38"/>
  <c r="I11" i="37" s="1"/>
  <c r="E14" i="38"/>
  <c r="D11" i="37" s="1"/>
  <c r="M14" i="38"/>
  <c r="L11" i="37" s="1"/>
  <c r="G14" i="38"/>
  <c r="F11" i="37" s="1"/>
  <c r="C14" i="38"/>
  <c r="B11" i="37" s="1"/>
  <c r="K14" i="38"/>
  <c r="J11" i="37" s="1"/>
  <c r="N14" i="38"/>
  <c r="M11" i="37" s="1"/>
  <c r="F14" i="38"/>
  <c r="E11" i="37" s="1"/>
  <c r="H14" i="38"/>
  <c r="G11" i="37" s="1"/>
  <c r="I14" i="38"/>
  <c r="H11" i="37" s="1"/>
  <c r="D14" i="38"/>
  <c r="C11" i="37" s="1"/>
  <c r="L14" i="38"/>
  <c r="K11" i="37" s="1"/>
  <c r="I19" i="38"/>
  <c r="H16" i="37" s="1"/>
  <c r="J19" i="38"/>
  <c r="I16" i="37" s="1"/>
  <c r="C19" i="38"/>
  <c r="B16" i="37" s="1"/>
  <c r="K19" i="38"/>
  <c r="J16" i="37" s="1"/>
  <c r="D19" i="38"/>
  <c r="C16" i="37" s="1"/>
  <c r="L19" i="38"/>
  <c r="K16" i="37" s="1"/>
  <c r="M19" i="38"/>
  <c r="L16" i="37" s="1"/>
  <c r="N19" i="38"/>
  <c r="M16" i="37" s="1"/>
  <c r="F19" i="38"/>
  <c r="E16" i="37" s="1"/>
  <c r="E19" i="38"/>
  <c r="D16" i="37" s="1"/>
  <c r="H19" i="38"/>
  <c r="G16" i="37" s="1"/>
  <c r="G19" i="38"/>
  <c r="F16" i="37" s="1"/>
  <c r="E15" i="38"/>
  <c r="D12" i="37" s="1"/>
  <c r="H15" i="38"/>
  <c r="G12" i="37" s="1"/>
  <c r="C15" i="38"/>
  <c r="B12" i="37" s="1"/>
  <c r="K15" i="38"/>
  <c r="J12" i="37" s="1"/>
  <c r="D15" i="38"/>
  <c r="C12" i="37" s="1"/>
  <c r="L15" i="38"/>
  <c r="K12" i="37" s="1"/>
  <c r="I15" i="38"/>
  <c r="H12" i="37" s="1"/>
  <c r="M15" i="38"/>
  <c r="L12" i="37" s="1"/>
  <c r="J15" i="38"/>
  <c r="I12" i="37" s="1"/>
  <c r="G15" i="38"/>
  <c r="F12" i="37" s="1"/>
  <c r="N15" i="38"/>
  <c r="M12" i="37" s="1"/>
  <c r="F15" i="38"/>
  <c r="E12" i="37" s="1"/>
  <c r="E24" i="38"/>
  <c r="D21" i="37" s="1"/>
  <c r="D24" i="38"/>
  <c r="C21" i="37" s="1"/>
  <c r="L24" i="38"/>
  <c r="K21" i="37" s="1"/>
  <c r="H24" i="38"/>
  <c r="G21" i="37" s="1"/>
  <c r="M24" i="38"/>
  <c r="L21" i="37" s="1"/>
  <c r="F24" i="38"/>
  <c r="E21" i="37" s="1"/>
  <c r="N24" i="38"/>
  <c r="M21" i="37" s="1"/>
  <c r="C24" i="38"/>
  <c r="B21" i="37" s="1"/>
  <c r="K24" i="38"/>
  <c r="J21" i="37" s="1"/>
  <c r="J24" i="38"/>
  <c r="I21" i="37" s="1"/>
  <c r="G24" i="38"/>
  <c r="F21" i="37" s="1"/>
  <c r="I24" i="38"/>
  <c r="H21" i="37" s="1"/>
  <c r="F23" i="38"/>
  <c r="E20" i="37" s="1"/>
  <c r="N23" i="38"/>
  <c r="M20" i="37" s="1"/>
  <c r="G23" i="38"/>
  <c r="F20" i="37" s="1"/>
  <c r="M23" i="38"/>
  <c r="L20" i="37" s="1"/>
  <c r="J23" i="38"/>
  <c r="I20" i="37" s="1"/>
  <c r="I23" i="38"/>
  <c r="H20" i="37" s="1"/>
  <c r="H23" i="38"/>
  <c r="G20" i="37" s="1"/>
  <c r="E23" i="38"/>
  <c r="D20" i="37" s="1"/>
  <c r="C23" i="38"/>
  <c r="B20" i="37" s="1"/>
  <c r="K23" i="38"/>
  <c r="J20" i="37" s="1"/>
  <c r="D23" i="38"/>
  <c r="C20" i="37" s="1"/>
  <c r="L23" i="38"/>
  <c r="K20" i="37" s="1"/>
  <c r="F25" i="38"/>
  <c r="E22" i="37" s="1"/>
  <c r="N25" i="38"/>
  <c r="M22" i="37" s="1"/>
  <c r="I25" i="38"/>
  <c r="H22" i="37" s="1"/>
  <c r="H25" i="38"/>
  <c r="G22" i="37" s="1"/>
  <c r="C25" i="38"/>
  <c r="B22" i="37" s="1"/>
  <c r="K25" i="38"/>
  <c r="J22" i="37" s="1"/>
  <c r="D25" i="38"/>
  <c r="C22" i="37" s="1"/>
  <c r="L25" i="38"/>
  <c r="K22" i="37" s="1"/>
  <c r="G25" i="38"/>
  <c r="F22" i="37" s="1"/>
  <c r="J25" i="38"/>
  <c r="I22" i="37" s="1"/>
  <c r="E25" i="38"/>
  <c r="D22" i="37" s="1"/>
  <c r="M25" i="38"/>
  <c r="L22" i="37" s="1"/>
  <c r="O24" i="57"/>
  <c r="O7" i="38"/>
  <c r="J17" i="38"/>
  <c r="I14" i="37" s="1"/>
  <c r="E17" i="38"/>
  <c r="D14" i="37" s="1"/>
  <c r="M17" i="38"/>
  <c r="L14" i="37" s="1"/>
  <c r="C17" i="38"/>
  <c r="B14" i="37" s="1"/>
  <c r="K17" i="38"/>
  <c r="J14" i="37" s="1"/>
  <c r="D17" i="38"/>
  <c r="C14" i="37" s="1"/>
  <c r="L17" i="38"/>
  <c r="K14" i="37" s="1"/>
  <c r="G17" i="38"/>
  <c r="F14" i="37" s="1"/>
  <c r="F17" i="38"/>
  <c r="E14" i="37" s="1"/>
  <c r="N17" i="38"/>
  <c r="M14" i="37" s="1"/>
  <c r="H17" i="38"/>
  <c r="G14" i="37" s="1"/>
  <c r="I17" i="38"/>
  <c r="H14" i="37" s="1"/>
  <c r="C13" i="38"/>
  <c r="B10" i="37" s="1"/>
  <c r="K13" i="38"/>
  <c r="J10" i="37" s="1"/>
  <c r="D13" i="38"/>
  <c r="C10" i="37" s="1"/>
  <c r="L13" i="38"/>
  <c r="K10" i="37" s="1"/>
  <c r="J13" i="38"/>
  <c r="I10" i="37" s="1"/>
  <c r="H13" i="38"/>
  <c r="G10" i="37" s="1"/>
  <c r="G13" i="38"/>
  <c r="F10" i="37" s="1"/>
  <c r="F13" i="38"/>
  <c r="E10" i="37" s="1"/>
  <c r="N13" i="38"/>
  <c r="M10" i="37" s="1"/>
  <c r="I13" i="38"/>
  <c r="H10" i="37" s="1"/>
  <c r="E13" i="38"/>
  <c r="D10" i="37" s="1"/>
  <c r="M13" i="38"/>
  <c r="L10" i="37" s="1"/>
  <c r="I20" i="38"/>
  <c r="H17" i="37" s="1"/>
  <c r="J20" i="38"/>
  <c r="I17" i="37" s="1"/>
  <c r="G20" i="38"/>
  <c r="F17" i="37" s="1"/>
  <c r="E20" i="38"/>
  <c r="D17" i="37" s="1"/>
  <c r="H20" i="38"/>
  <c r="G17" i="37" s="1"/>
  <c r="D20" i="38"/>
  <c r="C17" i="37" s="1"/>
  <c r="L20" i="38"/>
  <c r="K17" i="37" s="1"/>
  <c r="F20" i="38"/>
  <c r="E17" i="37" s="1"/>
  <c r="N20" i="38"/>
  <c r="M17" i="37" s="1"/>
  <c r="C20" i="38"/>
  <c r="B17" i="37" s="1"/>
  <c r="K20" i="38"/>
  <c r="J17" i="37" s="1"/>
  <c r="M20" i="38"/>
  <c r="L17" i="37" s="1"/>
  <c r="C21" i="38"/>
  <c r="B18" i="37" s="1"/>
  <c r="K21" i="38"/>
  <c r="J18" i="37" s="1"/>
  <c r="D21" i="38"/>
  <c r="C18" i="37" s="1"/>
  <c r="L21" i="38"/>
  <c r="K18" i="37" s="1"/>
  <c r="G21" i="38"/>
  <c r="F18" i="37" s="1"/>
  <c r="F21" i="38"/>
  <c r="E18" i="37" s="1"/>
  <c r="N21" i="38"/>
  <c r="M18" i="37" s="1"/>
  <c r="J21" i="38"/>
  <c r="I18" i="37" s="1"/>
  <c r="E21" i="38"/>
  <c r="D18" i="37" s="1"/>
  <c r="M21" i="38"/>
  <c r="L18" i="37" s="1"/>
  <c r="H21" i="38"/>
  <c r="G18" i="37" s="1"/>
  <c r="I21" i="38"/>
  <c r="H18" i="37" s="1"/>
  <c r="F8" i="38"/>
  <c r="E5" i="37" s="1"/>
  <c r="N8" i="38"/>
  <c r="M5" i="37" s="1"/>
  <c r="E8" i="38"/>
  <c r="D5" i="37" s="1"/>
  <c r="C8" i="38"/>
  <c r="B5" i="37" s="1"/>
  <c r="K8" i="38"/>
  <c r="J5" i="37" s="1"/>
  <c r="D8" i="38"/>
  <c r="C5" i="37" s="1"/>
  <c r="L8" i="38"/>
  <c r="K5" i="37" s="1"/>
  <c r="H8" i="38"/>
  <c r="G5" i="37" s="1"/>
  <c r="M8" i="38"/>
  <c r="L5" i="37" s="1"/>
  <c r="J8" i="38"/>
  <c r="I5" i="37" s="1"/>
  <c r="G8" i="38"/>
  <c r="F5" i="37" s="1"/>
  <c r="I8" i="38"/>
  <c r="H5" i="37" s="1"/>
  <c r="N26" i="38"/>
  <c r="M23" i="37" s="1"/>
  <c r="D26" i="38"/>
  <c r="C23" i="37" s="1"/>
  <c r="L26" i="38"/>
  <c r="K23" i="37" s="1"/>
  <c r="G26" i="38"/>
  <c r="F23" i="37" s="1"/>
  <c r="F26" i="38"/>
  <c r="E23" i="37" s="1"/>
  <c r="J26" i="38"/>
  <c r="I23" i="37" s="1"/>
  <c r="C26" i="38"/>
  <c r="B23" i="37" s="1"/>
  <c r="K26" i="38"/>
  <c r="J23" i="37" s="1"/>
  <c r="H26" i="38"/>
  <c r="G23" i="37" s="1"/>
  <c r="I26" i="38"/>
  <c r="H23" i="37" s="1"/>
  <c r="M26" i="38"/>
  <c r="L23" i="37" s="1"/>
  <c r="E26" i="38"/>
  <c r="D23" i="37" s="1"/>
  <c r="B27" i="38"/>
  <c r="Q28" i="5"/>
  <c r="O28" i="4"/>
  <c r="P28" i="4"/>
  <c r="Q17" i="4" s="1"/>
  <c r="M28" i="4"/>
  <c r="N28" i="4" s="1"/>
  <c r="N27" i="8"/>
  <c r="L27" i="8"/>
  <c r="T26" i="65" l="1"/>
  <c r="AJ26" i="3" s="1"/>
  <c r="R26" i="65"/>
  <c r="T27" i="65"/>
  <c r="B23" i="68" s="1"/>
  <c r="R27" i="65"/>
  <c r="S27" i="65" s="1"/>
  <c r="AK27" i="3" s="1"/>
  <c r="Q18" i="65"/>
  <c r="S26" i="65"/>
  <c r="AK26" i="3" s="1"/>
  <c r="Q9" i="65"/>
  <c r="Q23" i="65"/>
  <c r="Q16" i="65"/>
  <c r="Q12" i="65"/>
  <c r="Q10" i="65"/>
  <c r="P28" i="65"/>
  <c r="Q14" i="65"/>
  <c r="Q11" i="65"/>
  <c r="Q22" i="65"/>
  <c r="Q24" i="65"/>
  <c r="AK8" i="3"/>
  <c r="Q17" i="65"/>
  <c r="Q21" i="65"/>
  <c r="Q20" i="65"/>
  <c r="B22" i="68"/>
  <c r="Q19" i="65"/>
  <c r="T8" i="65"/>
  <c r="Q13" i="65"/>
  <c r="Q25" i="65"/>
  <c r="Q15" i="65"/>
  <c r="O25" i="35"/>
  <c r="O15" i="35"/>
  <c r="O24" i="35"/>
  <c r="J12" i="35"/>
  <c r="N12" i="35"/>
  <c r="H12" i="35"/>
  <c r="G12" i="35"/>
  <c r="F12" i="35"/>
  <c r="M12" i="35"/>
  <c r="K12" i="35"/>
  <c r="C12" i="35"/>
  <c r="D12" i="35"/>
  <c r="E12" i="35"/>
  <c r="I12" i="35"/>
  <c r="L12" i="35"/>
  <c r="O17" i="35"/>
  <c r="O22" i="35"/>
  <c r="O21" i="35"/>
  <c r="O9" i="35"/>
  <c r="H16" i="35"/>
  <c r="J16" i="35"/>
  <c r="N16" i="35"/>
  <c r="M16" i="35"/>
  <c r="I16" i="35"/>
  <c r="E16" i="35"/>
  <c r="C16" i="35"/>
  <c r="D16" i="35"/>
  <c r="F16" i="35"/>
  <c r="G16" i="35"/>
  <c r="K16" i="35"/>
  <c r="L16" i="35"/>
  <c r="O10" i="35"/>
  <c r="H8" i="35"/>
  <c r="J8" i="35"/>
  <c r="N8" i="35"/>
  <c r="D8" i="35"/>
  <c r="M8" i="35"/>
  <c r="I8" i="35"/>
  <c r="G8" i="35"/>
  <c r="E8" i="35"/>
  <c r="K8" i="35"/>
  <c r="C8" i="35"/>
  <c r="L8" i="35"/>
  <c r="F8" i="35"/>
  <c r="O26" i="35"/>
  <c r="O14" i="35"/>
  <c r="H20" i="35"/>
  <c r="N20" i="35"/>
  <c r="J20" i="35"/>
  <c r="K20" i="35"/>
  <c r="D20" i="35"/>
  <c r="G20" i="35"/>
  <c r="E20" i="35"/>
  <c r="C20" i="35"/>
  <c r="L20" i="35"/>
  <c r="M20" i="35"/>
  <c r="I20" i="35"/>
  <c r="F20" i="35"/>
  <c r="O23" i="35"/>
  <c r="O19" i="35"/>
  <c r="H13" i="35"/>
  <c r="N13" i="35"/>
  <c r="J13" i="35"/>
  <c r="D13" i="35"/>
  <c r="G13" i="35"/>
  <c r="E13" i="35"/>
  <c r="K13" i="35"/>
  <c r="I13" i="35"/>
  <c r="F13" i="35"/>
  <c r="C13" i="35"/>
  <c r="M13" i="35"/>
  <c r="L13" i="35"/>
  <c r="B7" i="35"/>
  <c r="O11" i="35"/>
  <c r="O18" i="35"/>
  <c r="Q23" i="4"/>
  <c r="Q21" i="4"/>
  <c r="Q19" i="4"/>
  <c r="Q10" i="4"/>
  <c r="Q16" i="4"/>
  <c r="Q11" i="4"/>
  <c r="L24" i="37"/>
  <c r="Q26" i="4"/>
  <c r="Q14" i="4"/>
  <c r="K24" i="37"/>
  <c r="L27" i="38"/>
  <c r="M27" i="38"/>
  <c r="N27" i="38"/>
  <c r="C27" i="38"/>
  <c r="Q8" i="4"/>
  <c r="M24" i="37"/>
  <c r="Q13" i="4"/>
  <c r="R13" i="4" s="1"/>
  <c r="O26" i="38"/>
  <c r="N23" i="37"/>
  <c r="E27" i="38"/>
  <c r="O15" i="38"/>
  <c r="N12" i="37"/>
  <c r="G27" i="38"/>
  <c r="K27" i="38"/>
  <c r="N11" i="37"/>
  <c r="O14" i="38"/>
  <c r="G24" i="37"/>
  <c r="N17" i="37"/>
  <c r="O20" i="38"/>
  <c r="F27" i="38"/>
  <c r="N4" i="37"/>
  <c r="J27" i="38"/>
  <c r="N6" i="37"/>
  <c r="O9" i="38"/>
  <c r="O12" i="38"/>
  <c r="N9" i="37"/>
  <c r="H27" i="38"/>
  <c r="N18" i="37"/>
  <c r="O21" i="38"/>
  <c r="O13" i="38"/>
  <c r="N10" i="37"/>
  <c r="E24" i="37"/>
  <c r="N22" i="37"/>
  <c r="O25" i="38"/>
  <c r="N20" i="37"/>
  <c r="O23" i="38"/>
  <c r="I24" i="37"/>
  <c r="O19" i="38"/>
  <c r="N16" i="37"/>
  <c r="N7" i="37"/>
  <c r="O10" i="38"/>
  <c r="N15" i="37"/>
  <c r="O18" i="38"/>
  <c r="N13" i="37"/>
  <c r="O16" i="38"/>
  <c r="I27" i="38"/>
  <c r="C24" i="37"/>
  <c r="N5" i="37"/>
  <c r="O8" i="38"/>
  <c r="O17" i="38"/>
  <c r="N14" i="37"/>
  <c r="D24" i="37"/>
  <c r="O24" i="38"/>
  <c r="N21" i="37"/>
  <c r="F24" i="37"/>
  <c r="J24" i="37"/>
  <c r="H24" i="37"/>
  <c r="D27" i="38"/>
  <c r="N19" i="37"/>
  <c r="O22" i="38"/>
  <c r="O11" i="38"/>
  <c r="N8" i="37"/>
  <c r="Q27" i="4"/>
  <c r="R27" i="4" s="1"/>
  <c r="Q18" i="4"/>
  <c r="R18" i="4" s="1"/>
  <c r="Q22" i="4"/>
  <c r="Q12" i="4"/>
  <c r="Q15" i="4"/>
  <c r="Q25" i="4"/>
  <c r="R25" i="4" s="1"/>
  <c r="Q24" i="4"/>
  <c r="Q20" i="4"/>
  <c r="Q9" i="4"/>
  <c r="R9" i="4" s="1"/>
  <c r="R17" i="4"/>
  <c r="R11" i="4"/>
  <c r="G10" i="13" l="1"/>
  <c r="H10" i="13" s="1"/>
  <c r="G10" i="14"/>
  <c r="H10" i="14" s="1"/>
  <c r="G24" i="13"/>
  <c r="H24" i="13" s="1"/>
  <c r="G24" i="14"/>
  <c r="H24" i="14" s="1"/>
  <c r="G17" i="13"/>
  <c r="H17" i="13" s="1"/>
  <c r="G17" i="14"/>
  <c r="H17" i="14" s="1"/>
  <c r="G8" i="13"/>
  <c r="H8" i="13" s="1"/>
  <c r="G8" i="14"/>
  <c r="H8" i="14" s="1"/>
  <c r="G26" i="14"/>
  <c r="H26" i="14" s="1"/>
  <c r="G26" i="13"/>
  <c r="H26" i="13" s="1"/>
  <c r="G12" i="13"/>
  <c r="H12" i="13" s="1"/>
  <c r="G12" i="14"/>
  <c r="H12" i="14" s="1"/>
  <c r="G16" i="13"/>
  <c r="H16" i="13" s="1"/>
  <c r="G16" i="14"/>
  <c r="H16" i="14" s="1"/>
  <c r="T25" i="65"/>
  <c r="B21" i="68" s="1"/>
  <c r="R25" i="65"/>
  <c r="S25" i="65" s="1"/>
  <c r="AK25" i="3" s="1"/>
  <c r="AJ27" i="3"/>
  <c r="T22" i="65"/>
  <c r="B18" i="68" s="1"/>
  <c r="R22" i="65"/>
  <c r="S22" i="65" s="1"/>
  <c r="AK22" i="3" s="1"/>
  <c r="T14" i="65"/>
  <c r="AJ14" i="3" s="1"/>
  <c r="R14" i="65"/>
  <c r="S14" i="65" s="1"/>
  <c r="AK14" i="3" s="1"/>
  <c r="T13" i="65"/>
  <c r="R13" i="65"/>
  <c r="S13" i="65" s="1"/>
  <c r="AK13" i="3" s="1"/>
  <c r="T21" i="65"/>
  <c r="B17" i="68" s="1"/>
  <c r="R21" i="65"/>
  <c r="S21" i="65" s="1"/>
  <c r="AK21" i="3" s="1"/>
  <c r="T24" i="65"/>
  <c r="R24" i="65"/>
  <c r="S24" i="65" s="1"/>
  <c r="AK24" i="3" s="1"/>
  <c r="T12" i="65"/>
  <c r="B8" i="68" s="1"/>
  <c r="R12" i="65"/>
  <c r="S12" i="65" s="1"/>
  <c r="AK12" i="3" s="1"/>
  <c r="T23" i="65"/>
  <c r="R23" i="65"/>
  <c r="S23" i="65" s="1"/>
  <c r="AK23" i="3" s="1"/>
  <c r="T15" i="65"/>
  <c r="AJ15" i="3" s="1"/>
  <c r="R15" i="65"/>
  <c r="S15" i="65" s="1"/>
  <c r="AK15" i="3" s="1"/>
  <c r="T19" i="65"/>
  <c r="AJ19" i="3" s="1"/>
  <c r="R19" i="65"/>
  <c r="S19" i="65" s="1"/>
  <c r="AK19" i="3" s="1"/>
  <c r="T11" i="65"/>
  <c r="AJ11" i="3" s="1"/>
  <c r="R11" i="65"/>
  <c r="S11" i="65" s="1"/>
  <c r="AK11" i="3" s="1"/>
  <c r="T16" i="65"/>
  <c r="B12" i="68" s="1"/>
  <c r="R16" i="65"/>
  <c r="S16" i="65" s="1"/>
  <c r="AK16" i="3" s="1"/>
  <c r="T9" i="65"/>
  <c r="B5" i="68" s="1"/>
  <c r="R9" i="65"/>
  <c r="T18" i="65"/>
  <c r="AJ18" i="3" s="1"/>
  <c r="R18" i="65"/>
  <c r="S18" i="65" s="1"/>
  <c r="AK18" i="3" s="1"/>
  <c r="T20" i="65"/>
  <c r="AJ20" i="3" s="1"/>
  <c r="R20" i="65"/>
  <c r="S20" i="65" s="1"/>
  <c r="AK20" i="3" s="1"/>
  <c r="T17" i="65"/>
  <c r="B13" i="68" s="1"/>
  <c r="R17" i="65"/>
  <c r="S17" i="65" s="1"/>
  <c r="AK17" i="3" s="1"/>
  <c r="T10" i="65"/>
  <c r="AJ10" i="3" s="1"/>
  <c r="R10" i="65"/>
  <c r="S10" i="65" s="1"/>
  <c r="AK10" i="3" s="1"/>
  <c r="I10" i="13"/>
  <c r="AG11" i="3" s="1"/>
  <c r="R21" i="4"/>
  <c r="AJ25" i="3"/>
  <c r="B7" i="68"/>
  <c r="AJ13" i="3"/>
  <c r="B9" i="68"/>
  <c r="Q28" i="65"/>
  <c r="AJ12" i="3"/>
  <c r="AJ23" i="3"/>
  <c r="B19" i="68"/>
  <c r="B11" i="68"/>
  <c r="B4" i="68"/>
  <c r="AJ8" i="3"/>
  <c r="H22" i="68"/>
  <c r="L22" i="68"/>
  <c r="D22" i="68"/>
  <c r="F22" i="68"/>
  <c r="E22" i="68"/>
  <c r="J22" i="68"/>
  <c r="M22" i="68"/>
  <c r="C22" i="68"/>
  <c r="I22" i="68"/>
  <c r="K22" i="68"/>
  <c r="N22" i="68"/>
  <c r="G22" i="68"/>
  <c r="B10" i="68"/>
  <c r="AJ16" i="3"/>
  <c r="AJ9" i="3"/>
  <c r="L23" i="68"/>
  <c r="E23" i="68"/>
  <c r="M23" i="68"/>
  <c r="F23" i="68"/>
  <c r="G23" i="68"/>
  <c r="K23" i="68"/>
  <c r="H23" i="68"/>
  <c r="J23" i="68"/>
  <c r="N23" i="68"/>
  <c r="D23" i="68"/>
  <c r="C23" i="68"/>
  <c r="I23" i="68"/>
  <c r="B15" i="68"/>
  <c r="B20" i="68"/>
  <c r="AJ24" i="3"/>
  <c r="B6" i="68"/>
  <c r="O20" i="35"/>
  <c r="B27" i="35"/>
  <c r="N7" i="35"/>
  <c r="J7" i="35"/>
  <c r="H7" i="35"/>
  <c r="I7" i="35"/>
  <c r="L7" i="35"/>
  <c r="D7" i="35"/>
  <c r="M7" i="35"/>
  <c r="G7" i="35"/>
  <c r="C7" i="35"/>
  <c r="K7" i="35"/>
  <c r="F7" i="35"/>
  <c r="E7" i="35"/>
  <c r="O13" i="35"/>
  <c r="O8" i="35"/>
  <c r="O12" i="35"/>
  <c r="O16" i="35"/>
  <c r="R10" i="4"/>
  <c r="R14" i="4"/>
  <c r="R16" i="4"/>
  <c r="R23" i="4"/>
  <c r="R19" i="4"/>
  <c r="I12" i="13"/>
  <c r="AG13" i="3" s="1"/>
  <c r="R26" i="4"/>
  <c r="R8" i="4"/>
  <c r="O27" i="38"/>
  <c r="B24" i="37"/>
  <c r="N24" i="37" s="1"/>
  <c r="R20" i="4"/>
  <c r="R22" i="4"/>
  <c r="K8" i="14"/>
  <c r="M8" i="14" s="1"/>
  <c r="R12" i="4"/>
  <c r="Q28" i="4"/>
  <c r="I26" i="13"/>
  <c r="AG27" i="3" s="1"/>
  <c r="R24" i="4"/>
  <c r="R15" i="4"/>
  <c r="I16" i="13"/>
  <c r="AG17" i="3" s="1"/>
  <c r="U10" i="4"/>
  <c r="U17" i="4"/>
  <c r="S17" i="4"/>
  <c r="T17" i="4" s="1"/>
  <c r="T17" i="3" s="1"/>
  <c r="AD17" i="3"/>
  <c r="AF17" i="3"/>
  <c r="K10" i="14"/>
  <c r="M10" i="14" s="1"/>
  <c r="K16" i="14"/>
  <c r="M16" i="14" s="1"/>
  <c r="U25" i="4"/>
  <c r="S25" i="4"/>
  <c r="T25" i="4" s="1"/>
  <c r="T25" i="3" s="1"/>
  <c r="AD25" i="3"/>
  <c r="AF25" i="3"/>
  <c r="U13" i="4"/>
  <c r="S13" i="4"/>
  <c r="T13" i="4" s="1"/>
  <c r="T13" i="3" s="1"/>
  <c r="AF13" i="3"/>
  <c r="AD13" i="3"/>
  <c r="U18" i="4"/>
  <c r="S18" i="4"/>
  <c r="T18" i="4" s="1"/>
  <c r="T18" i="3" s="1"/>
  <c r="AD18" i="3"/>
  <c r="AF18" i="3"/>
  <c r="U27" i="4"/>
  <c r="S27" i="4"/>
  <c r="T27" i="4" s="1"/>
  <c r="T27" i="3" s="1"/>
  <c r="AD27" i="3"/>
  <c r="AF27" i="3"/>
  <c r="U11" i="4"/>
  <c r="S11" i="4"/>
  <c r="T11" i="4" s="1"/>
  <c r="T11" i="3" s="1"/>
  <c r="AD11" i="3"/>
  <c r="AF11" i="3"/>
  <c r="U9" i="4"/>
  <c r="S9" i="4"/>
  <c r="T9" i="4" s="1"/>
  <c r="T9" i="3" s="1"/>
  <c r="AD9" i="3"/>
  <c r="AF9" i="3"/>
  <c r="AC28" i="3"/>
  <c r="W28" i="3"/>
  <c r="I28" i="3"/>
  <c r="J24" i="3" s="1"/>
  <c r="K24" i="3" s="1"/>
  <c r="E28" i="3"/>
  <c r="D22" i="3" s="1"/>
  <c r="F22" i="3" s="1"/>
  <c r="G22" i="3" s="1"/>
  <c r="H22" i="3" s="1"/>
  <c r="B28" i="3"/>
  <c r="C27" i="3"/>
  <c r="C26" i="3"/>
  <c r="C25" i="3"/>
  <c r="C24" i="3"/>
  <c r="C23" i="3"/>
  <c r="C22" i="3"/>
  <c r="C21" i="3"/>
  <c r="C20" i="3"/>
  <c r="C19" i="3"/>
  <c r="B16" i="68" l="1"/>
  <c r="AJ21" i="3"/>
  <c r="AD23" i="3"/>
  <c r="G22" i="13"/>
  <c r="H22" i="13" s="1"/>
  <c r="G22" i="14"/>
  <c r="AF21" i="3"/>
  <c r="G20" i="13"/>
  <c r="H20" i="13" s="1"/>
  <c r="I20" i="13" s="1"/>
  <c r="AG21" i="3" s="1"/>
  <c r="G20" i="14"/>
  <c r="U15" i="4"/>
  <c r="G14" i="13"/>
  <c r="H14" i="13" s="1"/>
  <c r="I14" i="13" s="1"/>
  <c r="AG15" i="3" s="1"/>
  <c r="G14" i="14"/>
  <c r="U22" i="4"/>
  <c r="G21" i="13"/>
  <c r="H21" i="13" s="1"/>
  <c r="G21" i="14"/>
  <c r="S26" i="4"/>
  <c r="T26" i="4" s="1"/>
  <c r="T26" i="3" s="1"/>
  <c r="G25" i="13"/>
  <c r="H25" i="13" s="1"/>
  <c r="I25" i="13" s="1"/>
  <c r="AG26" i="3" s="1"/>
  <c r="G25" i="14"/>
  <c r="S16" i="4"/>
  <c r="T16" i="4" s="1"/>
  <c r="T16" i="3" s="1"/>
  <c r="G15" i="13"/>
  <c r="H15" i="13" s="1"/>
  <c r="G15" i="14"/>
  <c r="AD24" i="3"/>
  <c r="G23" i="13"/>
  <c r="H23" i="13" s="1"/>
  <c r="I23" i="13" s="1"/>
  <c r="AG24" i="3" s="1"/>
  <c r="G23" i="14"/>
  <c r="U12" i="4"/>
  <c r="G11" i="13"/>
  <c r="H11" i="13" s="1"/>
  <c r="I11" i="13" s="1"/>
  <c r="AG12" i="3" s="1"/>
  <c r="G11" i="14"/>
  <c r="AF14" i="3"/>
  <c r="G13" i="13"/>
  <c r="H13" i="13" s="1"/>
  <c r="G13" i="14"/>
  <c r="AF20" i="3"/>
  <c r="G19" i="13"/>
  <c r="H19" i="13" s="1"/>
  <c r="I19" i="13" s="1"/>
  <c r="AG20" i="3" s="1"/>
  <c r="G19" i="14"/>
  <c r="U8" i="4"/>
  <c r="G7" i="13"/>
  <c r="G7" i="14"/>
  <c r="U19" i="4"/>
  <c r="G18" i="13"/>
  <c r="H18" i="13" s="1"/>
  <c r="I18" i="13" s="1"/>
  <c r="AG19" i="3" s="1"/>
  <c r="G18" i="14"/>
  <c r="H18" i="14" s="1"/>
  <c r="S10" i="4"/>
  <c r="T10" i="4" s="1"/>
  <c r="T10" i="3" s="1"/>
  <c r="G9" i="13"/>
  <c r="H9" i="13" s="1"/>
  <c r="I9" i="13" s="1"/>
  <c r="AG10" i="3" s="1"/>
  <c r="G9" i="14"/>
  <c r="B14" i="68"/>
  <c r="M14" i="68" s="1"/>
  <c r="AJ17" i="3"/>
  <c r="AJ22" i="3"/>
  <c r="T28" i="65"/>
  <c r="R28" i="65"/>
  <c r="S9" i="65"/>
  <c r="S14" i="4"/>
  <c r="T14" i="4" s="1"/>
  <c r="T14" i="3" s="1"/>
  <c r="F14" i="68"/>
  <c r="D14" i="68"/>
  <c r="L14" i="68"/>
  <c r="U21" i="4"/>
  <c r="B17" i="33" s="1"/>
  <c r="AD14" i="3"/>
  <c r="S21" i="4"/>
  <c r="T21" i="4" s="1"/>
  <c r="T21" i="3" s="1"/>
  <c r="U16" i="4"/>
  <c r="B12" i="62" s="1"/>
  <c r="AD21" i="3"/>
  <c r="AF16" i="3"/>
  <c r="S23" i="4"/>
  <c r="T23" i="4" s="1"/>
  <c r="T23" i="3" s="1"/>
  <c r="AF26" i="3"/>
  <c r="E6" i="68"/>
  <c r="N6" i="68"/>
  <c r="M6" i="68"/>
  <c r="D6" i="68"/>
  <c r="K6" i="68"/>
  <c r="H6" i="68"/>
  <c r="F6" i="68"/>
  <c r="G6" i="68"/>
  <c r="I6" i="68"/>
  <c r="L6" i="68"/>
  <c r="J6" i="68"/>
  <c r="C6" i="68"/>
  <c r="K12" i="68"/>
  <c r="G12" i="68"/>
  <c r="J12" i="68"/>
  <c r="I12" i="68"/>
  <c r="E12" i="68"/>
  <c r="N12" i="68"/>
  <c r="M12" i="68"/>
  <c r="H12" i="68"/>
  <c r="C12" i="68"/>
  <c r="F12" i="68"/>
  <c r="L12" i="68"/>
  <c r="D12" i="68"/>
  <c r="K18" i="68"/>
  <c r="H18" i="68"/>
  <c r="J18" i="68"/>
  <c r="C18" i="68"/>
  <c r="N18" i="68"/>
  <c r="G18" i="68"/>
  <c r="E18" i="68"/>
  <c r="F18" i="68"/>
  <c r="M18" i="68"/>
  <c r="I18" i="68"/>
  <c r="D18" i="68"/>
  <c r="L18" i="68"/>
  <c r="F19" i="68"/>
  <c r="E19" i="68"/>
  <c r="J19" i="68"/>
  <c r="M19" i="68"/>
  <c r="N19" i="68"/>
  <c r="L19" i="68"/>
  <c r="K19" i="68"/>
  <c r="H19" i="68"/>
  <c r="C19" i="68"/>
  <c r="I19" i="68"/>
  <c r="G19" i="68"/>
  <c r="D19" i="68"/>
  <c r="K7" i="68"/>
  <c r="M7" i="68"/>
  <c r="E7" i="68"/>
  <c r="J7" i="68"/>
  <c r="D7" i="68"/>
  <c r="F7" i="68"/>
  <c r="I7" i="68"/>
  <c r="H7" i="68"/>
  <c r="L7" i="68"/>
  <c r="C7" i="68"/>
  <c r="G7" i="68"/>
  <c r="N7" i="68"/>
  <c r="H4" i="68"/>
  <c r="L4" i="68"/>
  <c r="G4" i="68"/>
  <c r="F4" i="68"/>
  <c r="M4" i="68"/>
  <c r="N4" i="68"/>
  <c r="I4" i="68"/>
  <c r="C4" i="68"/>
  <c r="J4" i="68"/>
  <c r="K4" i="68"/>
  <c r="E4" i="68"/>
  <c r="D4" i="68"/>
  <c r="F16" i="68"/>
  <c r="M16" i="68"/>
  <c r="N16" i="68"/>
  <c r="C16" i="68"/>
  <c r="L16" i="68"/>
  <c r="H16" i="68"/>
  <c r="J16" i="68"/>
  <c r="G16" i="68"/>
  <c r="K16" i="68"/>
  <c r="E16" i="68"/>
  <c r="D16" i="68"/>
  <c r="I16" i="68"/>
  <c r="N20" i="68"/>
  <c r="M20" i="68"/>
  <c r="F20" i="68"/>
  <c r="L20" i="68"/>
  <c r="K20" i="68"/>
  <c r="E20" i="68"/>
  <c r="J20" i="68"/>
  <c r="G20" i="68"/>
  <c r="C20" i="68"/>
  <c r="I20" i="68"/>
  <c r="H20" i="68"/>
  <c r="D20" i="68"/>
  <c r="O23" i="68"/>
  <c r="I5" i="68"/>
  <c r="E5" i="68"/>
  <c r="H5" i="68"/>
  <c r="M5" i="68"/>
  <c r="K5" i="68"/>
  <c r="G5" i="68"/>
  <c r="F5" i="68"/>
  <c r="L5" i="68"/>
  <c r="D5" i="68"/>
  <c r="N5" i="68"/>
  <c r="J5" i="68"/>
  <c r="C5" i="68"/>
  <c r="K10" i="68"/>
  <c r="M10" i="68"/>
  <c r="L10" i="68"/>
  <c r="G10" i="68"/>
  <c r="E10" i="68"/>
  <c r="I10" i="68"/>
  <c r="J10" i="68"/>
  <c r="H10" i="68"/>
  <c r="D10" i="68"/>
  <c r="N10" i="68"/>
  <c r="F10" i="68"/>
  <c r="C10" i="68"/>
  <c r="N17" i="68"/>
  <c r="G17" i="68"/>
  <c r="M17" i="68"/>
  <c r="F17" i="68"/>
  <c r="H17" i="68"/>
  <c r="I17" i="68"/>
  <c r="E17" i="68"/>
  <c r="K17" i="68"/>
  <c r="C17" i="68"/>
  <c r="L17" i="68"/>
  <c r="J17" i="68"/>
  <c r="D17" i="68"/>
  <c r="N11" i="68"/>
  <c r="G11" i="68"/>
  <c r="E11" i="68"/>
  <c r="I11" i="68"/>
  <c r="D11" i="68"/>
  <c r="J11" i="68"/>
  <c r="F11" i="68"/>
  <c r="H11" i="68"/>
  <c r="L11" i="68"/>
  <c r="M11" i="68"/>
  <c r="C11" i="68"/>
  <c r="K11" i="68"/>
  <c r="L9" i="68"/>
  <c r="J9" i="68"/>
  <c r="M9" i="68"/>
  <c r="G9" i="68"/>
  <c r="E9" i="68"/>
  <c r="K9" i="68"/>
  <c r="H9" i="68"/>
  <c r="F9" i="68"/>
  <c r="D9" i="68"/>
  <c r="I9" i="68"/>
  <c r="N9" i="68"/>
  <c r="C9" i="68"/>
  <c r="N21" i="68"/>
  <c r="K21" i="68"/>
  <c r="H21" i="68"/>
  <c r="I21" i="68"/>
  <c r="F21" i="68"/>
  <c r="J21" i="68"/>
  <c r="M21" i="68"/>
  <c r="G21" i="68"/>
  <c r="C21" i="68"/>
  <c r="E21" i="68"/>
  <c r="L21" i="68"/>
  <c r="D21" i="68"/>
  <c r="E15" i="68"/>
  <c r="I15" i="68"/>
  <c r="K15" i="68"/>
  <c r="H15" i="68"/>
  <c r="J15" i="68"/>
  <c r="L15" i="68"/>
  <c r="N15" i="68"/>
  <c r="G15" i="68"/>
  <c r="D15" i="68"/>
  <c r="F15" i="68"/>
  <c r="M15" i="68"/>
  <c r="C15" i="68"/>
  <c r="O22" i="68"/>
  <c r="F8" i="68"/>
  <c r="N8" i="68"/>
  <c r="I8" i="68"/>
  <c r="L8" i="68"/>
  <c r="G8" i="68"/>
  <c r="M8" i="68"/>
  <c r="D8" i="68"/>
  <c r="E8" i="68"/>
  <c r="J8" i="68"/>
  <c r="C8" i="68"/>
  <c r="K8" i="68"/>
  <c r="H8" i="68"/>
  <c r="J13" i="68"/>
  <c r="H13" i="68"/>
  <c r="D13" i="68"/>
  <c r="E13" i="68"/>
  <c r="I13" i="68"/>
  <c r="F13" i="68"/>
  <c r="N13" i="68"/>
  <c r="C13" i="68"/>
  <c r="L13" i="68"/>
  <c r="M13" i="68"/>
  <c r="K13" i="68"/>
  <c r="G13" i="68"/>
  <c r="U14" i="4"/>
  <c r="B13" i="51" s="1"/>
  <c r="AD16" i="3"/>
  <c r="K17" i="14"/>
  <c r="M17" i="14" s="1"/>
  <c r="O7" i="35"/>
  <c r="AF8" i="3"/>
  <c r="I8" i="13"/>
  <c r="AG9" i="3" s="1"/>
  <c r="AD10" i="3"/>
  <c r="AF10" i="3"/>
  <c r="I22" i="13"/>
  <c r="AG23" i="3" s="1"/>
  <c r="AD19" i="3"/>
  <c r="AF23" i="3"/>
  <c r="U26" i="4"/>
  <c r="B25" i="51" s="1"/>
  <c r="U23" i="4"/>
  <c r="B22" i="51" s="1"/>
  <c r="AD26" i="3"/>
  <c r="I21" i="13"/>
  <c r="AG22" i="3" s="1"/>
  <c r="I13" i="13"/>
  <c r="AG14" i="3" s="1"/>
  <c r="AF19" i="3"/>
  <c r="S19" i="4"/>
  <c r="T19" i="4" s="1"/>
  <c r="T19" i="3" s="1"/>
  <c r="I15" i="13"/>
  <c r="AG16" i="3" s="1"/>
  <c r="K18" i="14"/>
  <c r="M18" i="14" s="1"/>
  <c r="S20" i="4"/>
  <c r="T20" i="4" s="1"/>
  <c r="T20" i="3" s="1"/>
  <c r="K12" i="14"/>
  <c r="M12" i="14" s="1"/>
  <c r="U24" i="4"/>
  <c r="B20" i="62" s="1"/>
  <c r="S22" i="4"/>
  <c r="T22" i="4" s="1"/>
  <c r="T22" i="3" s="1"/>
  <c r="AD20" i="3"/>
  <c r="U20" i="4"/>
  <c r="B19" i="51" s="1"/>
  <c r="AD8" i="3"/>
  <c r="S8" i="4"/>
  <c r="T8" i="4" s="1"/>
  <c r="T8" i="3" s="1"/>
  <c r="K26" i="14"/>
  <c r="M26" i="14" s="1"/>
  <c r="D20" i="3"/>
  <c r="F20" i="3" s="1"/>
  <c r="G20" i="3" s="1"/>
  <c r="H20" i="3" s="1"/>
  <c r="D24" i="3"/>
  <c r="F24" i="3" s="1"/>
  <c r="G24" i="3" s="1"/>
  <c r="H24" i="3" s="1"/>
  <c r="J27" i="3"/>
  <c r="K27" i="3" s="1"/>
  <c r="L27" i="3" s="1"/>
  <c r="S9" i="3"/>
  <c r="B5" i="33"/>
  <c r="B5" i="62"/>
  <c r="B8" i="51"/>
  <c r="S11" i="3"/>
  <c r="B7" i="33"/>
  <c r="B7" i="62"/>
  <c r="B10" i="51"/>
  <c r="S14" i="3"/>
  <c r="S27" i="3"/>
  <c r="B23" i="33"/>
  <c r="B23" i="62"/>
  <c r="B26" i="51"/>
  <c r="S13" i="3"/>
  <c r="B9" i="33"/>
  <c r="B9" i="62"/>
  <c r="B12" i="51"/>
  <c r="S25" i="3"/>
  <c r="B21" i="33"/>
  <c r="B21" i="62"/>
  <c r="B24" i="51"/>
  <c r="S19" i="3"/>
  <c r="B15" i="33"/>
  <c r="B15" i="62"/>
  <c r="B18" i="51"/>
  <c r="S17" i="3"/>
  <c r="B13" i="33"/>
  <c r="B13" i="62"/>
  <c r="B16" i="51"/>
  <c r="S8" i="3"/>
  <c r="B4" i="62"/>
  <c r="B4" i="33"/>
  <c r="B7" i="51"/>
  <c r="S10" i="3"/>
  <c r="B6" i="33"/>
  <c r="B6" i="62"/>
  <c r="B9" i="51"/>
  <c r="S15" i="3"/>
  <c r="B11" i="33"/>
  <c r="B11" i="62"/>
  <c r="B14" i="51"/>
  <c r="S18" i="3"/>
  <c r="B14" i="33"/>
  <c r="B14" i="62"/>
  <c r="B17" i="51"/>
  <c r="S12" i="3"/>
  <c r="B8" i="33"/>
  <c r="B8" i="62"/>
  <c r="B11" i="51"/>
  <c r="S22" i="3"/>
  <c r="B18" i="33"/>
  <c r="B18" i="62"/>
  <c r="B21" i="51"/>
  <c r="I17" i="13"/>
  <c r="AG18" i="3" s="1"/>
  <c r="AF12" i="3"/>
  <c r="AF24" i="3"/>
  <c r="S24" i="4"/>
  <c r="T24" i="4" s="1"/>
  <c r="T24" i="3" s="1"/>
  <c r="AF22" i="3"/>
  <c r="R28" i="4"/>
  <c r="U28" i="4" s="1"/>
  <c r="AD12" i="3"/>
  <c r="AD22" i="3"/>
  <c r="K24" i="14"/>
  <c r="M24" i="14" s="1"/>
  <c r="S12" i="4"/>
  <c r="T12" i="4" s="1"/>
  <c r="T12" i="3" s="1"/>
  <c r="I24" i="13"/>
  <c r="AG25" i="3" s="1"/>
  <c r="AD15" i="3"/>
  <c r="AF15" i="3"/>
  <c r="S15" i="4"/>
  <c r="T15" i="4" s="1"/>
  <c r="T15" i="3" s="1"/>
  <c r="J19" i="3"/>
  <c r="K19" i="3" s="1"/>
  <c r="L19" i="3" s="1"/>
  <c r="J20" i="3"/>
  <c r="K20" i="3" s="1"/>
  <c r="N20" i="3" s="1"/>
  <c r="O20" i="3" s="1"/>
  <c r="J23" i="3"/>
  <c r="K23" i="3" s="1"/>
  <c r="L23" i="3" s="1"/>
  <c r="J26" i="3"/>
  <c r="K26" i="3" s="1"/>
  <c r="J21" i="3"/>
  <c r="K21" i="3" s="1"/>
  <c r="L21" i="3" s="1"/>
  <c r="J22" i="3"/>
  <c r="K22" i="3" s="1"/>
  <c r="N22" i="3" s="1"/>
  <c r="O22" i="3" s="1"/>
  <c r="J25" i="3"/>
  <c r="K25" i="3" s="1"/>
  <c r="L25" i="3" s="1"/>
  <c r="D8" i="3"/>
  <c r="D10" i="3"/>
  <c r="F10" i="3" s="1"/>
  <c r="G10" i="3" s="1"/>
  <c r="H10" i="3" s="1"/>
  <c r="D12" i="3"/>
  <c r="F12" i="3" s="1"/>
  <c r="G12" i="3" s="1"/>
  <c r="H12" i="3" s="1"/>
  <c r="D14" i="3"/>
  <c r="F14" i="3" s="1"/>
  <c r="G14" i="3" s="1"/>
  <c r="H14" i="3" s="1"/>
  <c r="D16" i="3"/>
  <c r="F16" i="3" s="1"/>
  <c r="G16" i="3" s="1"/>
  <c r="H16" i="3" s="1"/>
  <c r="D18" i="3"/>
  <c r="F18" i="3" s="1"/>
  <c r="G18" i="3" s="1"/>
  <c r="H18" i="3" s="1"/>
  <c r="D9" i="3"/>
  <c r="F9" i="3" s="1"/>
  <c r="G9" i="3" s="1"/>
  <c r="H9" i="3" s="1"/>
  <c r="D11" i="3"/>
  <c r="F11" i="3" s="1"/>
  <c r="G11" i="3" s="1"/>
  <c r="H11" i="3" s="1"/>
  <c r="D13" i="3"/>
  <c r="F13" i="3" s="1"/>
  <c r="G13" i="3" s="1"/>
  <c r="H13" i="3" s="1"/>
  <c r="D15" i="3"/>
  <c r="F15" i="3" s="1"/>
  <c r="G15" i="3" s="1"/>
  <c r="H15" i="3" s="1"/>
  <c r="D17" i="3"/>
  <c r="F17" i="3" s="1"/>
  <c r="G17" i="3" s="1"/>
  <c r="H17" i="3" s="1"/>
  <c r="D21" i="3"/>
  <c r="F21" i="3" s="1"/>
  <c r="G21" i="3" s="1"/>
  <c r="H21" i="3" s="1"/>
  <c r="D25" i="3"/>
  <c r="F25" i="3" s="1"/>
  <c r="G25" i="3" s="1"/>
  <c r="H25" i="3" s="1"/>
  <c r="J8" i="3"/>
  <c r="J9" i="3"/>
  <c r="K9" i="3" s="1"/>
  <c r="J10" i="3"/>
  <c r="K10" i="3" s="1"/>
  <c r="J11" i="3"/>
  <c r="K11" i="3" s="1"/>
  <c r="J12" i="3"/>
  <c r="K12" i="3" s="1"/>
  <c r="J13" i="3"/>
  <c r="K13" i="3" s="1"/>
  <c r="J14" i="3"/>
  <c r="K14" i="3" s="1"/>
  <c r="J15" i="3"/>
  <c r="K15" i="3" s="1"/>
  <c r="J16" i="3"/>
  <c r="K16" i="3" s="1"/>
  <c r="J17" i="3"/>
  <c r="K17" i="3" s="1"/>
  <c r="J18" i="3"/>
  <c r="K18" i="3" s="1"/>
  <c r="D26" i="3"/>
  <c r="F26" i="3" s="1"/>
  <c r="G26" i="3" s="1"/>
  <c r="H26" i="3" s="1"/>
  <c r="D19" i="3"/>
  <c r="F19" i="3" s="1"/>
  <c r="G19" i="3" s="1"/>
  <c r="H19" i="3" s="1"/>
  <c r="M19" i="3" s="1"/>
  <c r="D23" i="3"/>
  <c r="F23" i="3" s="1"/>
  <c r="G23" i="3" s="1"/>
  <c r="H23" i="3" s="1"/>
  <c r="D27" i="3"/>
  <c r="F27" i="3" s="1"/>
  <c r="G27" i="3" s="1"/>
  <c r="H27" i="3" s="1"/>
  <c r="C28" i="3"/>
  <c r="N19" i="3"/>
  <c r="O19" i="3" s="1"/>
  <c r="L20" i="3"/>
  <c r="N21" i="3"/>
  <c r="O21" i="3" s="1"/>
  <c r="L24" i="3"/>
  <c r="N26" i="3" l="1"/>
  <c r="O26" i="3" s="1"/>
  <c r="H11" i="14"/>
  <c r="K11" i="14"/>
  <c r="M11" i="14" s="1"/>
  <c r="J14" i="68"/>
  <c r="E14" i="68"/>
  <c r="O14" i="68" s="1"/>
  <c r="H14" i="68"/>
  <c r="H9" i="14"/>
  <c r="K9" i="14"/>
  <c r="M9" i="14" s="1"/>
  <c r="H13" i="14"/>
  <c r="K13" i="14"/>
  <c r="M13" i="14" s="1"/>
  <c r="H25" i="14"/>
  <c r="K25" i="14"/>
  <c r="M25" i="14" s="1"/>
  <c r="H22" i="14"/>
  <c r="K22" i="14"/>
  <c r="M22" i="14" s="1"/>
  <c r="G27" i="13"/>
  <c r="H7" i="13"/>
  <c r="H27" i="13" s="1"/>
  <c r="H21" i="14"/>
  <c r="K21" i="14"/>
  <c r="M21" i="14" s="1"/>
  <c r="B24" i="68"/>
  <c r="N14" i="68"/>
  <c r="G14" i="68"/>
  <c r="H19" i="14"/>
  <c r="K19" i="14"/>
  <c r="M19" i="14" s="1"/>
  <c r="H15" i="14"/>
  <c r="K15" i="14"/>
  <c r="M15" i="14" s="1"/>
  <c r="H20" i="14"/>
  <c r="K20" i="14"/>
  <c r="M20" i="14" s="1"/>
  <c r="K14" i="68"/>
  <c r="I14" i="68"/>
  <c r="C14" i="68"/>
  <c r="G27" i="14"/>
  <c r="K27" i="14" s="1"/>
  <c r="H7" i="14"/>
  <c r="K7" i="14"/>
  <c r="M7" i="14" s="1"/>
  <c r="M27" i="14" s="1"/>
  <c r="H23" i="14"/>
  <c r="K23" i="14"/>
  <c r="M23" i="14" s="1"/>
  <c r="H14" i="14"/>
  <c r="K14" i="14"/>
  <c r="M14" i="14" s="1"/>
  <c r="L26" i="3"/>
  <c r="N24" i="3"/>
  <c r="O24" i="3" s="1"/>
  <c r="AJ28" i="3"/>
  <c r="AK9" i="3"/>
  <c r="AK28" i="3" s="1"/>
  <c r="S28" i="65"/>
  <c r="B17" i="62"/>
  <c r="S21" i="3"/>
  <c r="S16" i="3"/>
  <c r="B20" i="51"/>
  <c r="H20" i="51" s="1"/>
  <c r="S23" i="3"/>
  <c r="B15" i="51"/>
  <c r="H15" i="51" s="1"/>
  <c r="B12" i="33"/>
  <c r="E12" i="33" s="1"/>
  <c r="S26" i="3"/>
  <c r="B10" i="62"/>
  <c r="M10" i="62" s="1"/>
  <c r="B10" i="33"/>
  <c r="H10" i="33" s="1"/>
  <c r="O15" i="68"/>
  <c r="O9" i="68"/>
  <c r="O10" i="68"/>
  <c r="O5" i="68"/>
  <c r="O6" i="68"/>
  <c r="O20" i="68"/>
  <c r="O18" i="68"/>
  <c r="O8" i="68"/>
  <c r="O11" i="68"/>
  <c r="O16" i="68"/>
  <c r="O7" i="68"/>
  <c r="O4" i="68"/>
  <c r="O19" i="68"/>
  <c r="O13" i="68"/>
  <c r="O21" i="68"/>
  <c r="O17" i="68"/>
  <c r="O12" i="68"/>
  <c r="M24" i="3"/>
  <c r="M27" i="3"/>
  <c r="B19" i="33"/>
  <c r="J19" i="33" s="1"/>
  <c r="B22" i="62"/>
  <c r="H22" i="62" s="1"/>
  <c r="B22" i="33"/>
  <c r="K22" i="33" s="1"/>
  <c r="B19" i="62"/>
  <c r="E19" i="62" s="1"/>
  <c r="B23" i="51"/>
  <c r="E23" i="51" s="1"/>
  <c r="B20" i="33"/>
  <c r="D20" i="33" s="1"/>
  <c r="B16" i="33"/>
  <c r="F16" i="33" s="1"/>
  <c r="S24" i="3"/>
  <c r="B16" i="62"/>
  <c r="H16" i="62" s="1"/>
  <c r="S20" i="3"/>
  <c r="N25" i="3"/>
  <c r="O25" i="3" s="1"/>
  <c r="M20" i="3"/>
  <c r="L22" i="3"/>
  <c r="M22" i="3" s="1"/>
  <c r="C21" i="51"/>
  <c r="K21" i="51"/>
  <c r="L21" i="51"/>
  <c r="H21" i="51"/>
  <c r="G21" i="51"/>
  <c r="D21" i="51"/>
  <c r="F21" i="51"/>
  <c r="M21" i="51"/>
  <c r="N21" i="51"/>
  <c r="I21" i="51"/>
  <c r="E21" i="51"/>
  <c r="J21" i="51"/>
  <c r="I11" i="51"/>
  <c r="E11" i="51"/>
  <c r="L11" i="51"/>
  <c r="D11" i="51"/>
  <c r="C11" i="51"/>
  <c r="G11" i="51"/>
  <c r="K11" i="51"/>
  <c r="F11" i="51"/>
  <c r="H11" i="51"/>
  <c r="M11" i="51"/>
  <c r="N11" i="51"/>
  <c r="J11" i="51"/>
  <c r="F17" i="51"/>
  <c r="L17" i="51"/>
  <c r="H17" i="51"/>
  <c r="C17" i="51"/>
  <c r="G17" i="51"/>
  <c r="M17" i="51"/>
  <c r="N17" i="51"/>
  <c r="I17" i="51"/>
  <c r="D17" i="51"/>
  <c r="E17" i="51"/>
  <c r="K17" i="51"/>
  <c r="J17" i="51"/>
  <c r="N14" i="51"/>
  <c r="F14" i="51"/>
  <c r="C14" i="51"/>
  <c r="G14" i="51"/>
  <c r="K14" i="51"/>
  <c r="H14" i="51"/>
  <c r="M14" i="51"/>
  <c r="I14" i="51"/>
  <c r="D14" i="51"/>
  <c r="E14" i="51"/>
  <c r="L14" i="51"/>
  <c r="J14" i="51"/>
  <c r="N22" i="51"/>
  <c r="F22" i="51"/>
  <c r="H22" i="51"/>
  <c r="I22" i="51"/>
  <c r="D22" i="51"/>
  <c r="G22" i="51"/>
  <c r="K22" i="51"/>
  <c r="L22" i="51"/>
  <c r="M22" i="51"/>
  <c r="E22" i="51"/>
  <c r="C22" i="51"/>
  <c r="J22" i="51"/>
  <c r="E19" i="51"/>
  <c r="I19" i="51"/>
  <c r="N19" i="51"/>
  <c r="D19" i="51"/>
  <c r="M19" i="51"/>
  <c r="F19" i="51"/>
  <c r="C19" i="51"/>
  <c r="H19" i="51"/>
  <c r="G19" i="51"/>
  <c r="K19" i="51"/>
  <c r="L19" i="51"/>
  <c r="J19" i="51"/>
  <c r="L20" i="51"/>
  <c r="K20" i="51"/>
  <c r="M20" i="51"/>
  <c r="I20" i="51"/>
  <c r="H9" i="51"/>
  <c r="I9" i="51"/>
  <c r="D9" i="51"/>
  <c r="E9" i="51"/>
  <c r="K9" i="51"/>
  <c r="M9" i="51"/>
  <c r="F9" i="51"/>
  <c r="C9" i="51"/>
  <c r="L9" i="51"/>
  <c r="G9" i="51"/>
  <c r="N9" i="51"/>
  <c r="J9" i="51"/>
  <c r="E7" i="51"/>
  <c r="I7" i="51"/>
  <c r="C7" i="51"/>
  <c r="G7" i="51"/>
  <c r="K7" i="51"/>
  <c r="M7" i="51"/>
  <c r="F7" i="51"/>
  <c r="L7" i="51"/>
  <c r="N7" i="51"/>
  <c r="D7" i="51"/>
  <c r="H7" i="51"/>
  <c r="J7" i="51"/>
  <c r="H16" i="51"/>
  <c r="L16" i="51"/>
  <c r="D16" i="51"/>
  <c r="M16" i="51"/>
  <c r="N16" i="51"/>
  <c r="I16" i="51"/>
  <c r="E16" i="51"/>
  <c r="G16" i="51"/>
  <c r="K16" i="51"/>
  <c r="C16" i="51"/>
  <c r="F16" i="51"/>
  <c r="J16" i="51"/>
  <c r="G25" i="51"/>
  <c r="H25" i="51"/>
  <c r="K25" i="51"/>
  <c r="M25" i="51"/>
  <c r="C25" i="51"/>
  <c r="F25" i="51"/>
  <c r="N25" i="51"/>
  <c r="E25" i="51"/>
  <c r="L25" i="51"/>
  <c r="I25" i="51"/>
  <c r="D25" i="51"/>
  <c r="J25" i="51"/>
  <c r="F18" i="51"/>
  <c r="N18" i="51"/>
  <c r="L18" i="51"/>
  <c r="H18" i="51"/>
  <c r="I18" i="51"/>
  <c r="M18" i="51"/>
  <c r="E18" i="51"/>
  <c r="C18" i="51"/>
  <c r="G18" i="51"/>
  <c r="K18" i="51"/>
  <c r="D18" i="51"/>
  <c r="J18" i="51"/>
  <c r="L24" i="51"/>
  <c r="H24" i="51"/>
  <c r="D24" i="51"/>
  <c r="M24" i="51"/>
  <c r="E24" i="51"/>
  <c r="N24" i="51"/>
  <c r="I24" i="51"/>
  <c r="C24" i="51"/>
  <c r="G24" i="51"/>
  <c r="K24" i="51"/>
  <c r="F24" i="51"/>
  <c r="J24" i="51"/>
  <c r="D12" i="51"/>
  <c r="L12" i="51"/>
  <c r="H12" i="51"/>
  <c r="N12" i="51"/>
  <c r="G12" i="51"/>
  <c r="K12" i="51"/>
  <c r="I12" i="51"/>
  <c r="C12" i="51"/>
  <c r="M12" i="51"/>
  <c r="E12" i="51"/>
  <c r="F12" i="51"/>
  <c r="J12" i="51"/>
  <c r="N26" i="51"/>
  <c r="F26" i="51"/>
  <c r="M26" i="51"/>
  <c r="I26" i="51"/>
  <c r="D26" i="51"/>
  <c r="E26" i="51"/>
  <c r="G26" i="51"/>
  <c r="K26" i="51"/>
  <c r="L26" i="51"/>
  <c r="H26" i="51"/>
  <c r="C26" i="51"/>
  <c r="J26" i="51"/>
  <c r="M13" i="51"/>
  <c r="N13" i="51"/>
  <c r="I13" i="51"/>
  <c r="D13" i="51"/>
  <c r="E13" i="51"/>
  <c r="F13" i="51"/>
  <c r="L13" i="51"/>
  <c r="K13" i="51"/>
  <c r="H13" i="51"/>
  <c r="C13" i="51"/>
  <c r="G13" i="51"/>
  <c r="J13" i="51"/>
  <c r="F10" i="51"/>
  <c r="N10" i="51"/>
  <c r="M10" i="51"/>
  <c r="I10" i="51"/>
  <c r="D10" i="51"/>
  <c r="E10" i="51"/>
  <c r="C10" i="51"/>
  <c r="G10" i="51"/>
  <c r="H10" i="51"/>
  <c r="K10" i="51"/>
  <c r="L10" i="51"/>
  <c r="J10" i="51"/>
  <c r="L8" i="51"/>
  <c r="H8" i="51"/>
  <c r="D8" i="51"/>
  <c r="N8" i="51"/>
  <c r="M8" i="51"/>
  <c r="I8" i="51"/>
  <c r="E8" i="51"/>
  <c r="C8" i="51"/>
  <c r="G8" i="51"/>
  <c r="K8" i="51"/>
  <c r="F8" i="51"/>
  <c r="J8" i="51"/>
  <c r="M18" i="62"/>
  <c r="D18" i="62"/>
  <c r="K18" i="62"/>
  <c r="G18" i="62"/>
  <c r="E18" i="62"/>
  <c r="L18" i="62"/>
  <c r="H18" i="62"/>
  <c r="J18" i="62"/>
  <c r="F18" i="62"/>
  <c r="N18" i="62"/>
  <c r="I18" i="62"/>
  <c r="C18" i="62"/>
  <c r="J8" i="62"/>
  <c r="L8" i="62"/>
  <c r="M8" i="62"/>
  <c r="D8" i="62"/>
  <c r="K8" i="62"/>
  <c r="G8" i="62"/>
  <c r="H8" i="62"/>
  <c r="E8" i="62"/>
  <c r="I8" i="62"/>
  <c r="F8" i="62"/>
  <c r="N8" i="62"/>
  <c r="C8" i="62"/>
  <c r="J14" i="62"/>
  <c r="D14" i="62"/>
  <c r="H14" i="62"/>
  <c r="M14" i="62"/>
  <c r="L14" i="62"/>
  <c r="K14" i="62"/>
  <c r="G14" i="62"/>
  <c r="E14" i="62"/>
  <c r="F14" i="62"/>
  <c r="I14" i="62"/>
  <c r="N14" i="62"/>
  <c r="C14" i="62"/>
  <c r="K11" i="62"/>
  <c r="M11" i="62"/>
  <c r="L11" i="62"/>
  <c r="D11" i="62"/>
  <c r="H11" i="62"/>
  <c r="G11" i="62"/>
  <c r="J11" i="62"/>
  <c r="I11" i="62"/>
  <c r="N11" i="62"/>
  <c r="E11" i="62"/>
  <c r="F11" i="62"/>
  <c r="C11" i="62"/>
  <c r="H17" i="62"/>
  <c r="G17" i="62"/>
  <c r="J17" i="62"/>
  <c r="K17" i="62"/>
  <c r="L17" i="62"/>
  <c r="D17" i="62"/>
  <c r="M17" i="62"/>
  <c r="E17" i="62"/>
  <c r="I17" i="62"/>
  <c r="F17" i="62"/>
  <c r="N17" i="62"/>
  <c r="C17" i="62"/>
  <c r="L20" i="62"/>
  <c r="K20" i="62"/>
  <c r="H20" i="62"/>
  <c r="G20" i="62"/>
  <c r="J20" i="62"/>
  <c r="E20" i="62"/>
  <c r="D20" i="62"/>
  <c r="M20" i="62"/>
  <c r="F20" i="62"/>
  <c r="N20" i="62"/>
  <c r="I20" i="62"/>
  <c r="C20" i="62"/>
  <c r="L6" i="62"/>
  <c r="D6" i="62"/>
  <c r="J6" i="62"/>
  <c r="M6" i="62"/>
  <c r="K6" i="62"/>
  <c r="H6" i="62"/>
  <c r="G6" i="62"/>
  <c r="E6" i="62"/>
  <c r="N6" i="62"/>
  <c r="I6" i="62"/>
  <c r="F6" i="62"/>
  <c r="C6" i="62"/>
  <c r="I4" i="33"/>
  <c r="G4" i="33"/>
  <c r="J4" i="33"/>
  <c r="N4" i="33"/>
  <c r="C4" i="33"/>
  <c r="M4" i="33"/>
  <c r="E4" i="33"/>
  <c r="H4" i="33"/>
  <c r="D4" i="33"/>
  <c r="L4" i="33"/>
  <c r="K4" i="33"/>
  <c r="F4" i="33"/>
  <c r="D13" i="62"/>
  <c r="H13" i="62"/>
  <c r="G13" i="62"/>
  <c r="J13" i="62"/>
  <c r="M13" i="62"/>
  <c r="L13" i="62"/>
  <c r="K13" i="62"/>
  <c r="E13" i="62"/>
  <c r="F13" i="62"/>
  <c r="N13" i="62"/>
  <c r="I13" i="62"/>
  <c r="C13" i="62"/>
  <c r="M15" i="62"/>
  <c r="D15" i="62"/>
  <c r="L15" i="62"/>
  <c r="K15" i="62"/>
  <c r="H15" i="62"/>
  <c r="G15" i="62"/>
  <c r="J15" i="62"/>
  <c r="N15" i="62"/>
  <c r="E15" i="62"/>
  <c r="F15" i="62"/>
  <c r="I15" i="62"/>
  <c r="C15" i="62"/>
  <c r="D21" i="62"/>
  <c r="H21" i="62"/>
  <c r="M21" i="62"/>
  <c r="L21" i="62"/>
  <c r="E21" i="62"/>
  <c r="K21" i="62"/>
  <c r="G21" i="62"/>
  <c r="J21" i="62"/>
  <c r="F21" i="62"/>
  <c r="I21" i="62"/>
  <c r="N21" i="62"/>
  <c r="C21" i="62"/>
  <c r="D9" i="62"/>
  <c r="E9" i="62"/>
  <c r="K9" i="62"/>
  <c r="H9" i="62"/>
  <c r="G9" i="62"/>
  <c r="J9" i="62"/>
  <c r="L9" i="62"/>
  <c r="M9" i="62"/>
  <c r="F9" i="62"/>
  <c r="N9" i="62"/>
  <c r="I9" i="62"/>
  <c r="C9" i="62"/>
  <c r="L23" i="62"/>
  <c r="H23" i="62"/>
  <c r="G23" i="62"/>
  <c r="J23" i="62"/>
  <c r="E23" i="62"/>
  <c r="K23" i="62"/>
  <c r="M23" i="62"/>
  <c r="D23" i="62"/>
  <c r="N23" i="62"/>
  <c r="F23" i="62"/>
  <c r="I23" i="62"/>
  <c r="C23" i="62"/>
  <c r="L7" i="62"/>
  <c r="H7" i="62"/>
  <c r="G7" i="62"/>
  <c r="M7" i="62"/>
  <c r="D7" i="62"/>
  <c r="K7" i="62"/>
  <c r="E7" i="62"/>
  <c r="J7" i="62"/>
  <c r="I7" i="62"/>
  <c r="F7" i="62"/>
  <c r="N7" i="62"/>
  <c r="C7" i="62"/>
  <c r="K5" i="62"/>
  <c r="J5" i="62"/>
  <c r="M5" i="62"/>
  <c r="D5" i="62"/>
  <c r="G5" i="62"/>
  <c r="L5" i="62"/>
  <c r="H5" i="62"/>
  <c r="E5" i="62"/>
  <c r="N5" i="62"/>
  <c r="I5" i="62"/>
  <c r="F5" i="62"/>
  <c r="C5" i="62"/>
  <c r="K18" i="33"/>
  <c r="E18" i="33"/>
  <c r="M18" i="33"/>
  <c r="H18" i="33"/>
  <c r="F18" i="33"/>
  <c r="G18" i="33"/>
  <c r="N18" i="33"/>
  <c r="L18" i="33"/>
  <c r="I18" i="33"/>
  <c r="D18" i="33"/>
  <c r="C18" i="33"/>
  <c r="J18" i="33"/>
  <c r="K8" i="33"/>
  <c r="L8" i="33"/>
  <c r="H8" i="33"/>
  <c r="N8" i="33"/>
  <c r="C8" i="33"/>
  <c r="M8" i="33"/>
  <c r="D8" i="33"/>
  <c r="E8" i="33"/>
  <c r="I8" i="33"/>
  <c r="J8" i="33"/>
  <c r="G8" i="33"/>
  <c r="F8" i="33"/>
  <c r="K14" i="33"/>
  <c r="M14" i="33"/>
  <c r="H14" i="33"/>
  <c r="D14" i="33"/>
  <c r="F14" i="33"/>
  <c r="N14" i="33"/>
  <c r="E14" i="33"/>
  <c r="L14" i="33"/>
  <c r="I14" i="33"/>
  <c r="J14" i="33"/>
  <c r="G14" i="33"/>
  <c r="C14" i="33"/>
  <c r="K11" i="33"/>
  <c r="J11" i="33"/>
  <c r="N11" i="33"/>
  <c r="L11" i="33"/>
  <c r="F11" i="33"/>
  <c r="G11" i="33"/>
  <c r="C11" i="33"/>
  <c r="H11" i="33"/>
  <c r="I11" i="33"/>
  <c r="E11" i="33"/>
  <c r="M11" i="33"/>
  <c r="D11" i="33"/>
  <c r="K17" i="33"/>
  <c r="F17" i="33"/>
  <c r="E17" i="33"/>
  <c r="L17" i="33"/>
  <c r="H17" i="33"/>
  <c r="M17" i="33"/>
  <c r="I17" i="33"/>
  <c r="D17" i="33"/>
  <c r="J17" i="33"/>
  <c r="C17" i="33"/>
  <c r="G17" i="33"/>
  <c r="N17" i="33"/>
  <c r="K6" i="33"/>
  <c r="D6" i="33"/>
  <c r="M6" i="33"/>
  <c r="G6" i="33"/>
  <c r="L6" i="33"/>
  <c r="H6" i="33"/>
  <c r="J6" i="33"/>
  <c r="E6" i="33"/>
  <c r="I6" i="33"/>
  <c r="F6" i="33"/>
  <c r="N6" i="33"/>
  <c r="C6" i="33"/>
  <c r="F4" i="62"/>
  <c r="G4" i="62"/>
  <c r="H4" i="62"/>
  <c r="D4" i="62"/>
  <c r="I4" i="62"/>
  <c r="E4" i="62"/>
  <c r="M4" i="62"/>
  <c r="L4" i="62"/>
  <c r="J4" i="62"/>
  <c r="N4" i="62"/>
  <c r="C4" i="62"/>
  <c r="K4" i="62"/>
  <c r="K13" i="33"/>
  <c r="E13" i="33"/>
  <c r="L13" i="33"/>
  <c r="I13" i="33"/>
  <c r="D13" i="33"/>
  <c r="F13" i="33"/>
  <c r="J13" i="33"/>
  <c r="C13" i="33"/>
  <c r="M13" i="33"/>
  <c r="H13" i="33"/>
  <c r="G13" i="33"/>
  <c r="N13" i="33"/>
  <c r="K12" i="62"/>
  <c r="G12" i="62"/>
  <c r="E12" i="62"/>
  <c r="L12" i="62"/>
  <c r="J12" i="62"/>
  <c r="H12" i="62"/>
  <c r="D12" i="62"/>
  <c r="M12" i="62"/>
  <c r="I12" i="62"/>
  <c r="F12" i="62"/>
  <c r="N12" i="62"/>
  <c r="C12" i="62"/>
  <c r="K15" i="33"/>
  <c r="F15" i="33"/>
  <c r="J15" i="33"/>
  <c r="G15" i="33"/>
  <c r="C15" i="33"/>
  <c r="L15" i="33"/>
  <c r="D15" i="33"/>
  <c r="E15" i="33"/>
  <c r="M15" i="33"/>
  <c r="H15" i="33"/>
  <c r="I15" i="33"/>
  <c r="N15" i="33"/>
  <c r="K21" i="33"/>
  <c r="E21" i="33"/>
  <c r="H21" i="33"/>
  <c r="D21" i="33"/>
  <c r="F21" i="33"/>
  <c r="L21" i="33"/>
  <c r="I21" i="33"/>
  <c r="J21" i="33"/>
  <c r="M21" i="33"/>
  <c r="N21" i="33"/>
  <c r="C21" i="33"/>
  <c r="G21" i="33"/>
  <c r="K9" i="33"/>
  <c r="M9" i="33"/>
  <c r="I9" i="33"/>
  <c r="G9" i="33"/>
  <c r="J9" i="33"/>
  <c r="E9" i="33"/>
  <c r="F9" i="33"/>
  <c r="L9" i="33"/>
  <c r="H9" i="33"/>
  <c r="D9" i="33"/>
  <c r="N9" i="33"/>
  <c r="C9" i="33"/>
  <c r="K23" i="33"/>
  <c r="L23" i="33"/>
  <c r="M23" i="33"/>
  <c r="G23" i="33"/>
  <c r="I23" i="33"/>
  <c r="E23" i="33"/>
  <c r="H23" i="33"/>
  <c r="D23" i="33"/>
  <c r="F23" i="33"/>
  <c r="C23" i="33"/>
  <c r="N23" i="33"/>
  <c r="J23" i="33"/>
  <c r="K7" i="33"/>
  <c r="N7" i="33"/>
  <c r="J7" i="33"/>
  <c r="I7" i="33"/>
  <c r="D7" i="33"/>
  <c r="E7" i="33"/>
  <c r="L7" i="33"/>
  <c r="H7" i="33"/>
  <c r="F7" i="33"/>
  <c r="C7" i="33"/>
  <c r="M7" i="33"/>
  <c r="G7" i="33"/>
  <c r="K5" i="33"/>
  <c r="E5" i="33"/>
  <c r="L5" i="33"/>
  <c r="I5" i="33"/>
  <c r="F5" i="33"/>
  <c r="G5" i="33"/>
  <c r="M5" i="33"/>
  <c r="H5" i="33"/>
  <c r="D5" i="33"/>
  <c r="J5" i="33"/>
  <c r="C5" i="33"/>
  <c r="N5" i="33"/>
  <c r="AF28" i="3"/>
  <c r="T28" i="4"/>
  <c r="AD28" i="3"/>
  <c r="M21" i="3"/>
  <c r="N27" i="3"/>
  <c r="O27" i="3" s="1"/>
  <c r="M25" i="3"/>
  <c r="M23" i="3"/>
  <c r="N23" i="3"/>
  <c r="O23" i="3" s="1"/>
  <c r="M26" i="3"/>
  <c r="L18" i="3"/>
  <c r="M18" i="3" s="1"/>
  <c r="N18" i="3"/>
  <c r="O18" i="3" s="1"/>
  <c r="L14" i="3"/>
  <c r="M14" i="3" s="1"/>
  <c r="N14" i="3"/>
  <c r="O14" i="3" s="1"/>
  <c r="L10" i="3"/>
  <c r="M10" i="3" s="1"/>
  <c r="N10" i="3"/>
  <c r="O10" i="3" s="1"/>
  <c r="L17" i="3"/>
  <c r="M17" i="3" s="1"/>
  <c r="N17" i="3"/>
  <c r="O17" i="3" s="1"/>
  <c r="L13" i="3"/>
  <c r="M13" i="3" s="1"/>
  <c r="N13" i="3"/>
  <c r="O13" i="3" s="1"/>
  <c r="L9" i="3"/>
  <c r="M9" i="3" s="1"/>
  <c r="N9" i="3"/>
  <c r="O9" i="3" s="1"/>
  <c r="K8" i="3"/>
  <c r="J28" i="3"/>
  <c r="N16" i="3"/>
  <c r="O16" i="3" s="1"/>
  <c r="L16" i="3"/>
  <c r="M16" i="3" s="1"/>
  <c r="N12" i="3"/>
  <c r="O12" i="3" s="1"/>
  <c r="L12" i="3"/>
  <c r="M12" i="3" s="1"/>
  <c r="N15" i="3"/>
  <c r="O15" i="3" s="1"/>
  <c r="L15" i="3"/>
  <c r="M15" i="3" s="1"/>
  <c r="N11" i="3"/>
  <c r="O11" i="3" s="1"/>
  <c r="L11" i="3"/>
  <c r="M11" i="3" s="1"/>
  <c r="F8" i="3"/>
  <c r="G8" i="3" s="1"/>
  <c r="D28" i="3"/>
  <c r="F28" i="3" s="1"/>
  <c r="N10" i="33" l="1"/>
  <c r="H27" i="14"/>
  <c r="E10" i="33"/>
  <c r="I10" i="33"/>
  <c r="J20" i="51"/>
  <c r="C20" i="51"/>
  <c r="C17" i="50" s="1"/>
  <c r="K15" i="51"/>
  <c r="K12" i="50" s="1"/>
  <c r="L10" i="33"/>
  <c r="M10" i="33"/>
  <c r="D10" i="33"/>
  <c r="H22" i="33"/>
  <c r="J22" i="62"/>
  <c r="F10" i="33"/>
  <c r="G10" i="33"/>
  <c r="K10" i="33"/>
  <c r="D15" i="51"/>
  <c r="D12" i="50" s="1"/>
  <c r="E20" i="51"/>
  <c r="F20" i="51"/>
  <c r="F17" i="50" s="1"/>
  <c r="D20" i="51"/>
  <c r="D17" i="50" s="1"/>
  <c r="J10" i="33"/>
  <c r="C10" i="33"/>
  <c r="G19" i="33"/>
  <c r="I15" i="51"/>
  <c r="I12" i="50" s="1"/>
  <c r="N20" i="51"/>
  <c r="N17" i="50" s="1"/>
  <c r="G20" i="51"/>
  <c r="N15" i="51"/>
  <c r="N12" i="50" s="1"/>
  <c r="F15" i="51"/>
  <c r="F12" i="56" s="1"/>
  <c r="E15" i="51"/>
  <c r="E12" i="56" s="1"/>
  <c r="J15" i="51"/>
  <c r="L15" i="51"/>
  <c r="L12" i="50" s="1"/>
  <c r="C15" i="51"/>
  <c r="C12" i="56" s="1"/>
  <c r="G15" i="51"/>
  <c r="G12" i="50" s="1"/>
  <c r="M15" i="51"/>
  <c r="M12" i="50" s="1"/>
  <c r="H10" i="62"/>
  <c r="K10" i="62"/>
  <c r="C10" i="62"/>
  <c r="D19" i="33"/>
  <c r="L19" i="33"/>
  <c r="L12" i="33"/>
  <c r="F19" i="33"/>
  <c r="E19" i="33"/>
  <c r="K19" i="33"/>
  <c r="C19" i="33"/>
  <c r="I19" i="33"/>
  <c r="H19" i="33"/>
  <c r="N19" i="33"/>
  <c r="M19" i="33"/>
  <c r="N16" i="62"/>
  <c r="N12" i="33"/>
  <c r="K12" i="33"/>
  <c r="G12" i="33"/>
  <c r="F12" i="33"/>
  <c r="I12" i="33"/>
  <c r="I19" i="62"/>
  <c r="M12" i="33"/>
  <c r="D12" i="33"/>
  <c r="H12" i="33"/>
  <c r="C12" i="33"/>
  <c r="J12" i="33"/>
  <c r="B27" i="51"/>
  <c r="F10" i="62"/>
  <c r="J10" i="62"/>
  <c r="D10" i="62"/>
  <c r="N10" i="62"/>
  <c r="G10" i="62"/>
  <c r="L10" i="62"/>
  <c r="I10" i="62"/>
  <c r="E10" i="62"/>
  <c r="D22" i="62"/>
  <c r="L19" i="62"/>
  <c r="F19" i="62"/>
  <c r="K19" i="62"/>
  <c r="J19" i="62"/>
  <c r="G19" i="62"/>
  <c r="F22" i="33"/>
  <c r="F22" i="62"/>
  <c r="L22" i="33"/>
  <c r="G20" i="33"/>
  <c r="J20" i="33"/>
  <c r="I22" i="62"/>
  <c r="K22" i="62"/>
  <c r="L22" i="62"/>
  <c r="H20" i="33"/>
  <c r="N22" i="62"/>
  <c r="E22" i="62"/>
  <c r="M22" i="62"/>
  <c r="C22" i="62"/>
  <c r="G22" i="62"/>
  <c r="D23" i="51"/>
  <c r="H23" i="51"/>
  <c r="H27" i="51" s="1"/>
  <c r="K23" i="51"/>
  <c r="K20" i="50" s="1"/>
  <c r="C19" i="62"/>
  <c r="M19" i="62"/>
  <c r="H19" i="62"/>
  <c r="N19" i="62"/>
  <c r="D19" i="62"/>
  <c r="N22" i="33"/>
  <c r="M16" i="33"/>
  <c r="G22" i="33"/>
  <c r="J22" i="33"/>
  <c r="C22" i="33"/>
  <c r="I22" i="33"/>
  <c r="M22" i="33"/>
  <c r="C16" i="33"/>
  <c r="L23" i="51"/>
  <c r="L20" i="50" s="1"/>
  <c r="F23" i="51"/>
  <c r="F20" i="50" s="1"/>
  <c r="D22" i="33"/>
  <c r="E22" i="33"/>
  <c r="J16" i="33"/>
  <c r="B24" i="33"/>
  <c r="N23" i="51"/>
  <c r="I23" i="51"/>
  <c r="I20" i="33"/>
  <c r="E20" i="33"/>
  <c r="K20" i="33"/>
  <c r="N20" i="33"/>
  <c r="L20" i="33"/>
  <c r="C20" i="33"/>
  <c r="F20" i="33"/>
  <c r="M20" i="33"/>
  <c r="J23" i="51"/>
  <c r="J27" i="51" s="1"/>
  <c r="M23" i="51"/>
  <c r="M20" i="56" s="1"/>
  <c r="C23" i="51"/>
  <c r="G23" i="51"/>
  <c r="G20" i="56" s="1"/>
  <c r="H16" i="33"/>
  <c r="D16" i="33"/>
  <c r="K16" i="33"/>
  <c r="G16" i="33"/>
  <c r="N16" i="33"/>
  <c r="L16" i="33"/>
  <c r="I16" i="33"/>
  <c r="E16" i="33"/>
  <c r="S28" i="3"/>
  <c r="G16" i="62"/>
  <c r="E16" i="62"/>
  <c r="I16" i="62"/>
  <c r="K16" i="62"/>
  <c r="D16" i="62"/>
  <c r="B24" i="62"/>
  <c r="F16" i="62"/>
  <c r="M16" i="62"/>
  <c r="L16" i="62"/>
  <c r="C16" i="62"/>
  <c r="J16" i="62"/>
  <c r="O5" i="33"/>
  <c r="O21" i="33"/>
  <c r="O4" i="62"/>
  <c r="O6" i="33"/>
  <c r="O14" i="33"/>
  <c r="O5" i="62"/>
  <c r="O7" i="62"/>
  <c r="O23" i="62"/>
  <c r="O9" i="62"/>
  <c r="O21" i="62"/>
  <c r="O15" i="62"/>
  <c r="O13" i="62"/>
  <c r="O15" i="33"/>
  <c r="O17" i="33"/>
  <c r="F5" i="50"/>
  <c r="F5" i="56"/>
  <c r="E5" i="50"/>
  <c r="E5" i="56"/>
  <c r="D5" i="50"/>
  <c r="D5" i="56"/>
  <c r="L7" i="56"/>
  <c r="L7" i="50"/>
  <c r="C7" i="56"/>
  <c r="C7" i="50"/>
  <c r="O10" i="51"/>
  <c r="M7" i="56"/>
  <c r="M7" i="50"/>
  <c r="G10" i="50"/>
  <c r="G10" i="56"/>
  <c r="L10" i="50"/>
  <c r="L10" i="56"/>
  <c r="I10" i="50"/>
  <c r="I10" i="56"/>
  <c r="C23" i="56"/>
  <c r="C23" i="50"/>
  <c r="O26" i="51"/>
  <c r="G23" i="56"/>
  <c r="G23" i="50"/>
  <c r="M23" i="50"/>
  <c r="M23" i="56"/>
  <c r="F9" i="56"/>
  <c r="F9" i="50"/>
  <c r="I9" i="50"/>
  <c r="I9" i="56"/>
  <c r="H9" i="56"/>
  <c r="H9" i="50"/>
  <c r="F21" i="56"/>
  <c r="F21" i="50"/>
  <c r="I21" i="50"/>
  <c r="I21" i="56"/>
  <c r="D21" i="56"/>
  <c r="D21" i="50"/>
  <c r="D15" i="50"/>
  <c r="D15" i="56"/>
  <c r="E15" i="56"/>
  <c r="E15" i="50"/>
  <c r="L15" i="50"/>
  <c r="L15" i="56"/>
  <c r="D22" i="56"/>
  <c r="D22" i="50"/>
  <c r="N22" i="50"/>
  <c r="N22" i="56"/>
  <c r="K22" i="50"/>
  <c r="K22" i="56"/>
  <c r="M12" i="56"/>
  <c r="H12" i="56"/>
  <c r="H12" i="50"/>
  <c r="F13" i="56"/>
  <c r="F13" i="50"/>
  <c r="E13" i="50"/>
  <c r="E13" i="56"/>
  <c r="D13" i="50"/>
  <c r="D13" i="56"/>
  <c r="H4" i="56"/>
  <c r="H4" i="50"/>
  <c r="F4" i="56"/>
  <c r="F4" i="50"/>
  <c r="C4" i="56"/>
  <c r="C4" i="50"/>
  <c r="O7" i="51"/>
  <c r="J6" i="50"/>
  <c r="J6" i="56"/>
  <c r="C6" i="56"/>
  <c r="C6" i="50"/>
  <c r="O9" i="51"/>
  <c r="E6" i="50"/>
  <c r="E6" i="56"/>
  <c r="J17" i="50"/>
  <c r="J17" i="56"/>
  <c r="M17" i="56"/>
  <c r="M17" i="50"/>
  <c r="J16" i="50"/>
  <c r="J16" i="56"/>
  <c r="H16" i="50"/>
  <c r="H16" i="56"/>
  <c r="D16" i="50"/>
  <c r="D16" i="56"/>
  <c r="J19" i="50"/>
  <c r="J19" i="56"/>
  <c r="L19" i="56"/>
  <c r="L19" i="50"/>
  <c r="I19" i="50"/>
  <c r="I19" i="56"/>
  <c r="J11" i="50"/>
  <c r="J11" i="56"/>
  <c r="I11" i="56"/>
  <c r="I11" i="50"/>
  <c r="G11" i="50"/>
  <c r="G11" i="56"/>
  <c r="J14" i="50"/>
  <c r="J14" i="56"/>
  <c r="I14" i="50"/>
  <c r="I14" i="56"/>
  <c r="C14" i="56"/>
  <c r="C14" i="50"/>
  <c r="O17" i="51"/>
  <c r="J8" i="50"/>
  <c r="J8" i="56"/>
  <c r="F8" i="56"/>
  <c r="F8" i="50"/>
  <c r="D8" i="50"/>
  <c r="D8" i="56"/>
  <c r="J18" i="56"/>
  <c r="J18" i="50"/>
  <c r="M18" i="56"/>
  <c r="M18" i="50"/>
  <c r="H18" i="56"/>
  <c r="H18" i="50"/>
  <c r="O9" i="33"/>
  <c r="O12" i="62"/>
  <c r="O13" i="33"/>
  <c r="O8" i="33"/>
  <c r="O4" i="33"/>
  <c r="K5" i="50"/>
  <c r="K5" i="56"/>
  <c r="I5" i="56"/>
  <c r="I5" i="50"/>
  <c r="H5" i="50"/>
  <c r="H5" i="56"/>
  <c r="K7" i="56"/>
  <c r="K7" i="50"/>
  <c r="E7" i="56"/>
  <c r="E7" i="50"/>
  <c r="N7" i="56"/>
  <c r="N7" i="50"/>
  <c r="C10" i="56"/>
  <c r="C10" i="50"/>
  <c r="O13" i="51"/>
  <c r="F10" i="50"/>
  <c r="F10" i="56"/>
  <c r="N10" i="50"/>
  <c r="N10" i="56"/>
  <c r="H23" i="56"/>
  <c r="H23" i="50"/>
  <c r="E23" i="56"/>
  <c r="E23" i="50"/>
  <c r="F23" i="50"/>
  <c r="F23" i="56"/>
  <c r="E9" i="56"/>
  <c r="E9" i="50"/>
  <c r="K9" i="56"/>
  <c r="K9" i="50"/>
  <c r="L9" i="50"/>
  <c r="L9" i="56"/>
  <c r="K21" i="56"/>
  <c r="K21" i="50"/>
  <c r="N21" i="56"/>
  <c r="N21" i="50"/>
  <c r="H21" i="56"/>
  <c r="H21" i="50"/>
  <c r="K15" i="56"/>
  <c r="K15" i="50"/>
  <c r="M15" i="50"/>
  <c r="M15" i="56"/>
  <c r="N15" i="56"/>
  <c r="N15" i="50"/>
  <c r="I22" i="56"/>
  <c r="I22" i="50"/>
  <c r="F22" i="50"/>
  <c r="F22" i="56"/>
  <c r="H22" i="50"/>
  <c r="H22" i="56"/>
  <c r="C13" i="56"/>
  <c r="C13" i="50"/>
  <c r="O16" i="51"/>
  <c r="I13" i="56"/>
  <c r="I13" i="50"/>
  <c r="L13" i="56"/>
  <c r="L13" i="50"/>
  <c r="D4" i="56"/>
  <c r="D4" i="50"/>
  <c r="M4" i="56"/>
  <c r="M4" i="50"/>
  <c r="I4" i="50"/>
  <c r="I4" i="56"/>
  <c r="N6" i="56"/>
  <c r="N6" i="50"/>
  <c r="F6" i="56"/>
  <c r="F6" i="50"/>
  <c r="D6" i="50"/>
  <c r="D6" i="56"/>
  <c r="E17" i="50"/>
  <c r="E17" i="56"/>
  <c r="L16" i="56"/>
  <c r="L16" i="50"/>
  <c r="C16" i="56"/>
  <c r="C16" i="50"/>
  <c r="O19" i="51"/>
  <c r="N16" i="56"/>
  <c r="N16" i="50"/>
  <c r="C19" i="56"/>
  <c r="C19" i="50"/>
  <c r="O22" i="51"/>
  <c r="K19" i="56"/>
  <c r="K19" i="50"/>
  <c r="H19" i="50"/>
  <c r="H19" i="56"/>
  <c r="L11" i="56"/>
  <c r="L11" i="50"/>
  <c r="M11" i="50"/>
  <c r="M11" i="56"/>
  <c r="C11" i="56"/>
  <c r="C11" i="50"/>
  <c r="O14" i="51"/>
  <c r="K14" i="50"/>
  <c r="K14" i="56"/>
  <c r="N14" i="50"/>
  <c r="N14" i="56"/>
  <c r="H14" i="50"/>
  <c r="H14" i="56"/>
  <c r="N8" i="56"/>
  <c r="N8" i="50"/>
  <c r="K8" i="50"/>
  <c r="K8" i="56"/>
  <c r="L8" i="56"/>
  <c r="L8" i="50"/>
  <c r="E18" i="50"/>
  <c r="E18" i="56"/>
  <c r="F18" i="50"/>
  <c r="F18" i="56"/>
  <c r="L18" i="50"/>
  <c r="L18" i="56"/>
  <c r="G5" i="56"/>
  <c r="G5" i="50"/>
  <c r="M5" i="56"/>
  <c r="M5" i="50"/>
  <c r="L5" i="50"/>
  <c r="L5" i="56"/>
  <c r="H7" i="50"/>
  <c r="H7" i="56"/>
  <c r="D7" i="56"/>
  <c r="D7" i="50"/>
  <c r="F7" i="50"/>
  <c r="F7" i="56"/>
  <c r="H10" i="56"/>
  <c r="H10" i="50"/>
  <c r="E10" i="50"/>
  <c r="E10" i="56"/>
  <c r="M10" i="50"/>
  <c r="M10" i="56"/>
  <c r="L23" i="50"/>
  <c r="L23" i="56"/>
  <c r="D23" i="50"/>
  <c r="D23" i="56"/>
  <c r="N23" i="56"/>
  <c r="N23" i="50"/>
  <c r="M9" i="50"/>
  <c r="M9" i="56"/>
  <c r="G9" i="50"/>
  <c r="G9" i="56"/>
  <c r="D9" i="56"/>
  <c r="D9" i="50"/>
  <c r="G21" i="56"/>
  <c r="G21" i="50"/>
  <c r="E21" i="56"/>
  <c r="E21" i="50"/>
  <c r="L21" i="56"/>
  <c r="L21" i="50"/>
  <c r="G15" i="50"/>
  <c r="G15" i="56"/>
  <c r="I15" i="50"/>
  <c r="I15" i="56"/>
  <c r="F15" i="50"/>
  <c r="F15" i="56"/>
  <c r="L22" i="50"/>
  <c r="L22" i="56"/>
  <c r="C22" i="56"/>
  <c r="C22" i="50"/>
  <c r="O25" i="51"/>
  <c r="G22" i="56"/>
  <c r="G22" i="50"/>
  <c r="K13" i="50"/>
  <c r="K13" i="56"/>
  <c r="N13" i="50"/>
  <c r="N13" i="56"/>
  <c r="H13" i="50"/>
  <c r="H13" i="56"/>
  <c r="N4" i="56"/>
  <c r="N4" i="50"/>
  <c r="K4" i="56"/>
  <c r="K4" i="50"/>
  <c r="E4" i="56"/>
  <c r="E4" i="50"/>
  <c r="G6" i="56"/>
  <c r="G6" i="50"/>
  <c r="M6" i="56"/>
  <c r="M6" i="50"/>
  <c r="I6" i="56"/>
  <c r="I6" i="50"/>
  <c r="I17" i="56"/>
  <c r="I17" i="50"/>
  <c r="K17" i="56"/>
  <c r="K17" i="50"/>
  <c r="L17" i="50"/>
  <c r="L17" i="56"/>
  <c r="K16" i="56"/>
  <c r="K16" i="50"/>
  <c r="F16" i="56"/>
  <c r="F16" i="50"/>
  <c r="I16" i="50"/>
  <c r="I16" i="56"/>
  <c r="E19" i="50"/>
  <c r="E19" i="56"/>
  <c r="G19" i="50"/>
  <c r="G19" i="56"/>
  <c r="F19" i="50"/>
  <c r="F19" i="56"/>
  <c r="E11" i="56"/>
  <c r="E11" i="50"/>
  <c r="H11" i="56"/>
  <c r="H11" i="50"/>
  <c r="F11" i="56"/>
  <c r="F11" i="50"/>
  <c r="E14" i="50"/>
  <c r="E14" i="56"/>
  <c r="M14" i="50"/>
  <c r="M14" i="56"/>
  <c r="L14" i="50"/>
  <c r="L14" i="56"/>
  <c r="M8" i="50"/>
  <c r="M8" i="56"/>
  <c r="G8" i="50"/>
  <c r="G8" i="56"/>
  <c r="E8" i="56"/>
  <c r="E8" i="50"/>
  <c r="I18" i="56"/>
  <c r="I18" i="50"/>
  <c r="D18" i="50"/>
  <c r="D18" i="56"/>
  <c r="K18" i="50"/>
  <c r="K18" i="56"/>
  <c r="O7" i="33"/>
  <c r="O23" i="33"/>
  <c r="O11" i="33"/>
  <c r="O18" i="33"/>
  <c r="O6" i="62"/>
  <c r="O20" i="62"/>
  <c r="O17" i="62"/>
  <c r="O11" i="62"/>
  <c r="O14" i="62"/>
  <c r="O8" i="62"/>
  <c r="O18" i="62"/>
  <c r="J5" i="56"/>
  <c r="J5" i="50"/>
  <c r="C5" i="56"/>
  <c r="C5" i="50"/>
  <c r="O8" i="51"/>
  <c r="N5" i="50"/>
  <c r="N5" i="56"/>
  <c r="J7" i="50"/>
  <c r="J7" i="56"/>
  <c r="G7" i="50"/>
  <c r="G7" i="56"/>
  <c r="I7" i="50"/>
  <c r="I7" i="56"/>
  <c r="J10" i="50"/>
  <c r="J10" i="56"/>
  <c r="K10" i="56"/>
  <c r="K10" i="50"/>
  <c r="D10" i="50"/>
  <c r="D10" i="56"/>
  <c r="J23" i="56"/>
  <c r="J23" i="50"/>
  <c r="K23" i="50"/>
  <c r="K23" i="56"/>
  <c r="I23" i="56"/>
  <c r="I23" i="50"/>
  <c r="J9" i="50"/>
  <c r="J9" i="56"/>
  <c r="C9" i="56"/>
  <c r="C9" i="50"/>
  <c r="O12" i="51"/>
  <c r="N9" i="56"/>
  <c r="N9" i="50"/>
  <c r="J21" i="50"/>
  <c r="J21" i="56"/>
  <c r="C21" i="56"/>
  <c r="C21" i="50"/>
  <c r="O24" i="51"/>
  <c r="M21" i="50"/>
  <c r="M21" i="56"/>
  <c r="J15" i="50"/>
  <c r="J15" i="56"/>
  <c r="C15" i="56"/>
  <c r="C15" i="50"/>
  <c r="O18" i="51"/>
  <c r="H15" i="56"/>
  <c r="H15" i="50"/>
  <c r="J22" i="50"/>
  <c r="J22" i="56"/>
  <c r="E22" i="56"/>
  <c r="E22" i="50"/>
  <c r="M22" i="50"/>
  <c r="M22" i="56"/>
  <c r="J12" i="50"/>
  <c r="J12" i="56"/>
  <c r="L12" i="56"/>
  <c r="J13" i="50"/>
  <c r="J13" i="56"/>
  <c r="G13" i="56"/>
  <c r="G13" i="50"/>
  <c r="M13" i="56"/>
  <c r="M13" i="50"/>
  <c r="J4" i="50"/>
  <c r="J4" i="56"/>
  <c r="L4" i="56"/>
  <c r="L4" i="50"/>
  <c r="G4" i="56"/>
  <c r="G4" i="50"/>
  <c r="L6" i="56"/>
  <c r="L6" i="50"/>
  <c r="K6" i="56"/>
  <c r="K6" i="50"/>
  <c r="H6" i="56"/>
  <c r="H6" i="50"/>
  <c r="E20" i="56"/>
  <c r="E20" i="50"/>
  <c r="G17" i="50"/>
  <c r="G17" i="56"/>
  <c r="H17" i="50"/>
  <c r="H17" i="56"/>
  <c r="G16" i="50"/>
  <c r="G16" i="56"/>
  <c r="M16" i="56"/>
  <c r="M16" i="50"/>
  <c r="E16" i="56"/>
  <c r="E16" i="50"/>
  <c r="M19" i="56"/>
  <c r="M19" i="50"/>
  <c r="D19" i="50"/>
  <c r="D19" i="56"/>
  <c r="N19" i="50"/>
  <c r="N19" i="56"/>
  <c r="D11" i="56"/>
  <c r="D11" i="50"/>
  <c r="K11" i="56"/>
  <c r="K11" i="50"/>
  <c r="N11" i="56"/>
  <c r="N11" i="50"/>
  <c r="D14" i="50"/>
  <c r="D14" i="56"/>
  <c r="G14" i="56"/>
  <c r="G14" i="50"/>
  <c r="F14" i="56"/>
  <c r="F14" i="50"/>
  <c r="H8" i="50"/>
  <c r="H8" i="56"/>
  <c r="C8" i="56"/>
  <c r="C8" i="50"/>
  <c r="O11" i="51"/>
  <c r="I8" i="50"/>
  <c r="I8" i="56"/>
  <c r="N18" i="50"/>
  <c r="N18" i="56"/>
  <c r="G18" i="56"/>
  <c r="G18" i="50"/>
  <c r="C18" i="56"/>
  <c r="C18" i="50"/>
  <c r="O21" i="51"/>
  <c r="H8" i="3"/>
  <c r="H28" i="3" s="1"/>
  <c r="G28" i="3"/>
  <c r="L8" i="3"/>
  <c r="N8" i="3"/>
  <c r="K28" i="3"/>
  <c r="F17" i="56" l="1"/>
  <c r="C17" i="56"/>
  <c r="E12" i="50"/>
  <c r="E24" i="50" s="1"/>
  <c r="K12" i="56"/>
  <c r="C27" i="51"/>
  <c r="N17" i="56"/>
  <c r="G12" i="56"/>
  <c r="G24" i="56" s="1"/>
  <c r="N12" i="56"/>
  <c r="O10" i="33"/>
  <c r="F12" i="50"/>
  <c r="F24" i="50" s="1"/>
  <c r="C12" i="50"/>
  <c r="D17" i="56"/>
  <c r="I12" i="56"/>
  <c r="O20" i="51"/>
  <c r="I27" i="51"/>
  <c r="O15" i="51"/>
  <c r="E27" i="51"/>
  <c r="D12" i="56"/>
  <c r="N27" i="51"/>
  <c r="D27" i="51"/>
  <c r="D20" i="50"/>
  <c r="D24" i="50" s="1"/>
  <c r="L20" i="56"/>
  <c r="L24" i="56" s="1"/>
  <c r="O12" i="33"/>
  <c r="O19" i="33"/>
  <c r="O10" i="62"/>
  <c r="D20" i="56"/>
  <c r="H20" i="50"/>
  <c r="H24" i="50" s="1"/>
  <c r="F27" i="51"/>
  <c r="O22" i="62"/>
  <c r="H20" i="56"/>
  <c r="H24" i="56" s="1"/>
  <c r="G27" i="51"/>
  <c r="I20" i="56"/>
  <c r="N20" i="50"/>
  <c r="N24" i="50" s="1"/>
  <c r="K27" i="51"/>
  <c r="G20" i="50"/>
  <c r="G24" i="50" s="1"/>
  <c r="J20" i="56"/>
  <c r="J24" i="56" s="1"/>
  <c r="I20" i="50"/>
  <c r="I24" i="50" s="1"/>
  <c r="K20" i="56"/>
  <c r="O22" i="33"/>
  <c r="M27" i="51"/>
  <c r="F20" i="56"/>
  <c r="F24" i="56" s="1"/>
  <c r="M20" i="50"/>
  <c r="M24" i="50" s="1"/>
  <c r="O20" i="33"/>
  <c r="O19" i="62"/>
  <c r="N20" i="56"/>
  <c r="L27" i="51"/>
  <c r="J20" i="50"/>
  <c r="J24" i="50" s="1"/>
  <c r="O16" i="33"/>
  <c r="C20" i="56"/>
  <c r="C20" i="50"/>
  <c r="O23" i="51"/>
  <c r="O16" i="62"/>
  <c r="O21" i="56"/>
  <c r="O13" i="56"/>
  <c r="O5" i="56"/>
  <c r="L24" i="50"/>
  <c r="O4" i="56"/>
  <c r="O22" i="50"/>
  <c r="O9" i="56"/>
  <c r="O10" i="56"/>
  <c r="O8" i="50"/>
  <c r="O11" i="56"/>
  <c r="O16" i="56"/>
  <c r="O17" i="50"/>
  <c r="O6" i="56"/>
  <c r="O9" i="50"/>
  <c r="O10" i="50"/>
  <c r="O5" i="50"/>
  <c r="O18" i="50"/>
  <c r="O16" i="50"/>
  <c r="O6" i="50"/>
  <c r="O23" i="50"/>
  <c r="O15" i="56"/>
  <c r="O21" i="50"/>
  <c r="O7" i="56"/>
  <c r="E24" i="56"/>
  <c r="O11" i="50"/>
  <c r="M24" i="56"/>
  <c r="O18" i="56"/>
  <c r="O14" i="56"/>
  <c r="O19" i="56"/>
  <c r="O13" i="50"/>
  <c r="O22" i="56"/>
  <c r="O15" i="50"/>
  <c r="O23" i="56"/>
  <c r="O7" i="50"/>
  <c r="K24" i="50"/>
  <c r="O8" i="56"/>
  <c r="O14" i="50"/>
  <c r="O19" i="50"/>
  <c r="O4" i="50"/>
  <c r="O8" i="3"/>
  <c r="N28" i="3"/>
  <c r="M8" i="3"/>
  <c r="L28" i="3"/>
  <c r="M28" i="3" s="1"/>
  <c r="K24" i="56" l="1"/>
  <c r="O17" i="56"/>
  <c r="O12" i="56"/>
  <c r="N24" i="56"/>
  <c r="O12" i="50"/>
  <c r="I24" i="56"/>
  <c r="D24" i="56"/>
  <c r="O20" i="56"/>
  <c r="O27" i="51"/>
  <c r="O20" i="50"/>
  <c r="C24" i="50"/>
  <c r="O24" i="50" s="1"/>
  <c r="C24" i="56"/>
  <c r="O28" i="3"/>
  <c r="P8" i="3" s="1"/>
  <c r="O24" i="56" l="1"/>
  <c r="Q8" i="3"/>
  <c r="P14" i="3"/>
  <c r="Q14" i="3" s="1"/>
  <c r="R14" i="3" s="1"/>
  <c r="P17" i="3"/>
  <c r="Q17" i="3" s="1"/>
  <c r="R17" i="3" s="1"/>
  <c r="P16" i="3"/>
  <c r="Q16" i="3" s="1"/>
  <c r="R16" i="3" s="1"/>
  <c r="P10" i="3"/>
  <c r="Q10" i="3" s="1"/>
  <c r="R10" i="3" s="1"/>
  <c r="P11" i="3"/>
  <c r="Q11" i="3" s="1"/>
  <c r="R11" i="3" s="1"/>
  <c r="P15" i="3"/>
  <c r="Q15" i="3" s="1"/>
  <c r="R15" i="3" s="1"/>
  <c r="P18" i="3"/>
  <c r="Q18" i="3" s="1"/>
  <c r="R18" i="3" s="1"/>
  <c r="P13" i="3"/>
  <c r="Q13" i="3" s="1"/>
  <c r="R13" i="3" s="1"/>
  <c r="P9" i="3"/>
  <c r="Q9" i="3" s="1"/>
  <c r="R9" i="3" s="1"/>
  <c r="P12" i="3"/>
  <c r="Q12" i="3" s="1"/>
  <c r="R12" i="3" s="1"/>
  <c r="P20" i="3"/>
  <c r="Q20" i="3" s="1"/>
  <c r="R20" i="3" s="1"/>
  <c r="P23" i="3"/>
  <c r="Q23" i="3" s="1"/>
  <c r="R23" i="3" s="1"/>
  <c r="P21" i="3"/>
  <c r="Q21" i="3" s="1"/>
  <c r="R21" i="3" s="1"/>
  <c r="P26" i="3"/>
  <c r="Q26" i="3" s="1"/>
  <c r="R26" i="3" s="1"/>
  <c r="P24" i="3"/>
  <c r="Q24" i="3" s="1"/>
  <c r="R24" i="3" s="1"/>
  <c r="P25" i="3"/>
  <c r="Q25" i="3" s="1"/>
  <c r="R25" i="3" s="1"/>
  <c r="P19" i="3"/>
  <c r="Q19" i="3" s="1"/>
  <c r="R19" i="3" s="1"/>
  <c r="P22" i="3"/>
  <c r="Q22" i="3" s="1"/>
  <c r="R22" i="3" s="1"/>
  <c r="P27" i="3"/>
  <c r="Q27" i="3" s="1"/>
  <c r="R27" i="3" s="1"/>
  <c r="T28" i="3"/>
  <c r="R8" i="3" l="1"/>
  <c r="R28" i="3" s="1"/>
  <c r="Q28" i="3"/>
  <c r="P28" i="3"/>
  <c r="I7" i="13"/>
  <c r="K7" i="8"/>
  <c r="K27" i="8" s="1"/>
  <c r="I27" i="13" l="1"/>
  <c r="AG8" i="3"/>
  <c r="AG28" i="3" s="1"/>
  <c r="Y8" i="3"/>
  <c r="Y28" i="3" s="1"/>
  <c r="D24" i="43"/>
  <c r="D26" i="43" s="1"/>
  <c r="D29" i="45"/>
  <c r="O7" i="45"/>
  <c r="O27" i="45" s="1"/>
  <c r="O29" i="45" s="1"/>
  <c r="D5" i="59"/>
  <c r="D25" i="59" s="1"/>
  <c r="D27" i="59" s="1"/>
  <c r="R27" i="45" l="1"/>
  <c r="O5" i="59"/>
  <c r="O25" i="59" s="1"/>
  <c r="O27" i="59" s="1"/>
  <c r="O4" i="43"/>
  <c r="O24" i="43" s="1"/>
  <c r="O26" i="43" s="1"/>
  <c r="I20" i="14" l="1"/>
  <c r="AE21" i="3" s="1"/>
  <c r="I11" i="14"/>
  <c r="AE12" i="3" s="1"/>
  <c r="I21" i="14"/>
  <c r="AE22" i="3" s="1"/>
  <c r="I22" i="14"/>
  <c r="AE23" i="3" s="1"/>
  <c r="I15" i="14"/>
  <c r="AE16" i="3" s="1"/>
  <c r="I16" i="14"/>
  <c r="AE17" i="3" s="1"/>
  <c r="I26" i="14"/>
  <c r="AE27" i="3" s="1"/>
  <c r="I18" i="14"/>
  <c r="AE19" i="3" s="1"/>
  <c r="I8" i="14"/>
  <c r="AE9" i="3" s="1"/>
  <c r="I13" i="14"/>
  <c r="AE14" i="3" s="1"/>
  <c r="I10" i="14"/>
  <c r="AE11" i="3" s="1"/>
  <c r="I19" i="14"/>
  <c r="AE20" i="3" s="1"/>
  <c r="I9" i="14"/>
  <c r="AE10" i="3" s="1"/>
  <c r="I14" i="14"/>
  <c r="AE15" i="3" s="1"/>
  <c r="I23" i="14"/>
  <c r="AE24" i="3" s="1"/>
  <c r="I12" i="14"/>
  <c r="AE13" i="3" s="1"/>
  <c r="I25" i="14"/>
  <c r="AE26" i="3" s="1"/>
  <c r="I17" i="14"/>
  <c r="AE18" i="3" s="1"/>
  <c r="I24" i="14"/>
  <c r="AE25" i="3" s="1"/>
  <c r="I7" i="14"/>
  <c r="I27" i="14" l="1"/>
  <c r="AE8" i="3"/>
  <c r="AE28" i="3" s="1"/>
</calcChain>
</file>

<file path=xl/sharedStrings.xml><?xml version="1.0" encoding="utf-8"?>
<sst xmlns="http://schemas.openxmlformats.org/spreadsheetml/2006/main" count="3033" uniqueCount="500">
  <si>
    <t>FONDO GENERAL DE PARTICIPACIONES</t>
  </si>
  <si>
    <t>ENERO</t>
  </si>
  <si>
    <t>FEBRERO</t>
  </si>
  <si>
    <t>MARZO</t>
  </si>
  <si>
    <t>ABRIL</t>
  </si>
  <si>
    <t>MAYO</t>
  </si>
  <si>
    <t>JUNIO</t>
  </si>
  <si>
    <t>JULIO</t>
  </si>
  <si>
    <t>AGOSTO</t>
  </si>
  <si>
    <t>SEPTIEMBRE</t>
  </si>
  <si>
    <t>OCTUBRE</t>
  </si>
  <si>
    <t>NOVIEMBRE</t>
  </si>
  <si>
    <t>DICIEMBRE</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</si>
  <si>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</si>
  <si>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</si>
  <si>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</si>
  <si>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</si>
  <si>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</si>
  <si>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</si>
  <si>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</si>
  <si>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</si>
  <si>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</si>
  <si>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</si>
  <si>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</si>
  <si>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</si>
  <si>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</si>
  <si>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</si>
  <si>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</si>
  <si>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</si>
  <si>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</si>
  <si>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</si>
  <si>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</si>
  <si>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</si>
  <si>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</si>
  <si>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</si>
  <si>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</si>
  <si>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</si>
  <si>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</si>
  <si>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</si>
  <si>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</si>
  <si>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</si>
  <si>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</si>
  <si>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</si>
  <si>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</si>
  <si>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</si>
  <si>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</si>
  <si>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</si>
  <si>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</si>
  <si>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</si>
  <si>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</si>
  <si>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</si>
  <si>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</si>
  <si>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</si>
  <si>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</si>
  <si>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</si>
  <si>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</si>
  <si>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</si>
  <si>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</si>
  <si>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</si>
  <si>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</si>
  <si>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</si>
  <si>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</si>
  <si>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</si>
  <si>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</si>
  <si>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</si>
  <si>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</si>
  <si>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</si>
  <si>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</si>
  <si>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</si>
  <si>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</si>
  <si>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(1)</t>
  </si>
  <si>
    <t>(3)</t>
  </si>
  <si>
    <t>(4)(3=4/∑4)100</t>
  </si>
  <si>
    <t>(5)</t>
  </si>
  <si>
    <t>(7)</t>
  </si>
  <si>
    <t>(8)</t>
  </si>
  <si>
    <t>(9)</t>
  </si>
  <si>
    <t>(10)(9=10/∑10)100</t>
  </si>
  <si>
    <t>(11)</t>
  </si>
  <si>
    <t>(17)</t>
  </si>
  <si>
    <t>FUENTES.</t>
  </si>
  <si>
    <t>Convenio</t>
  </si>
  <si>
    <t>Total</t>
  </si>
  <si>
    <t>Municipios</t>
  </si>
  <si>
    <t>Factor de</t>
  </si>
  <si>
    <t>relativa</t>
  </si>
  <si>
    <t>Total Distribucion</t>
  </si>
  <si>
    <t>Distribución</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</si>
  <si>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</si>
  <si>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</si>
  <si>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</si>
  <si>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</si>
  <si>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</si>
  <si>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</si>
  <si>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</si>
  <si>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</si>
  <si>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</si>
  <si>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</si>
  <si>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</si>
  <si>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</si>
  <si>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</si>
  <si>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</si>
  <si>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</si>
  <si>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</si>
  <si>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</si>
  <si>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</si>
  <si>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</si>
  <si>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</si>
  <si>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</si>
  <si>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</si>
  <si>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</si>
  <si>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</si>
  <si>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</si>
  <si>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</si>
  <si>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</si>
  <si>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</si>
  <si>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</si>
  <si>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</si>
  <si>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</si>
  <si>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</si>
  <si>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</si>
  <si>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</si>
  <si>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</si>
  <si>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</si>
  <si>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</si>
  <si>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</si>
  <si>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</si>
  <si>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</si>
  <si>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</si>
  <si>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</si>
  <si>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</si>
  <si>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</si>
  <si>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</si>
  <si>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</si>
  <si>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</si>
  <si>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</si>
  <si>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</si>
  <si>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</si>
  <si>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</si>
  <si>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</si>
  <si>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</si>
  <si>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</si>
  <si>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</si>
  <si>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</si>
  <si>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</si>
  <si>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</si>
  <si>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</si>
  <si>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</si>
  <si>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</si>
  <si>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</si>
  <si>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</si>
  <si>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</si>
  <si>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</si>
  <si>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</si>
  <si>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</si>
  <si>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</si>
  <si>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</si>
  <si>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</si>
  <si>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</si>
  <si>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</si>
  <si>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</si>
  <si>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</si>
  <si>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</si>
  <si>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</si>
  <si>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</si>
  <si>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</si>
  <si>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fuente:</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</si>
  <si>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</si>
  <si>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</si>
  <si>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</si>
  <si>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</si>
  <si>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</si>
  <si>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</si>
  <si>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</si>
  <si>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</si>
  <si>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</si>
  <si>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</si>
  <si>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</si>
  <si>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</si>
  <si>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</si>
  <si>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</si>
  <si>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</si>
  <si>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</si>
  <si>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</si>
  <si>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</si>
  <si>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</si>
  <si>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</si>
  <si>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</si>
  <si>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</si>
  <si>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</si>
  <si>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</si>
  <si>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</si>
  <si>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</si>
  <si>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</si>
  <si>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</si>
  <si>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</si>
  <si>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</si>
  <si>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</si>
  <si>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</si>
  <si>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Coeficiente  Resarcitorio Efectivo       10%</t>
  </si>
  <si>
    <t>Predial y Agua</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</si>
  <si>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</si>
  <si>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</si>
  <si>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</si>
  <si>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</si>
  <si>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</si>
  <si>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</si>
  <si>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</si>
  <si>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</si>
  <si>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</si>
  <si>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</si>
  <si>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</si>
  <si>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</si>
  <si>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</si>
  <si>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</si>
  <si>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</si>
  <si>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</si>
  <si>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</si>
  <si>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</si>
  <si>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</si>
  <si>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</si>
  <si>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</si>
  <si>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</si>
  <si>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</si>
  <si>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</si>
  <si>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</si>
  <si>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</si>
  <si>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</si>
  <si>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</si>
  <si>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</si>
  <si>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</si>
  <si>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</si>
  <si>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</si>
  <si>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</si>
  <si>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</si>
  <si>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</si>
  <si>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</si>
  <si>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</si>
  <si>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</si>
  <si>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</si>
  <si>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</si>
  <si>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</si>
  <si>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</si>
  <si>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</si>
  <si>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</si>
  <si>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</si>
  <si>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</si>
  <si>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</si>
  <si>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</si>
  <si>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</si>
  <si>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</si>
  <si>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</si>
  <si>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</si>
  <si>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</si>
  <si>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</si>
  <si>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</si>
  <si>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</si>
  <si>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</si>
  <si>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</si>
  <si>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</si>
  <si>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</si>
  <si>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</si>
  <si>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</si>
  <si>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Fondo General de Participaciones</t>
  </si>
  <si>
    <t>Coeficiente Efectivo</t>
  </si>
  <si>
    <t>Importe</t>
  </si>
  <si>
    <t>Componente solo para los que Suscribieron Convenio para el Cobro de Predial</t>
  </si>
  <si>
    <t>Estimación del Fondo de Compensación del Impuesto Sobre Automóviles Nuevos</t>
  </si>
  <si>
    <t>Estimación de los Incentivos por el Impuesto Sobre Automóviles Nuevos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</si>
  <si>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</si>
  <si>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</si>
  <si>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</si>
  <si>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</si>
  <si>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</si>
  <si>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</si>
  <si>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</si>
  <si>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</si>
  <si>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</si>
  <si>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</si>
  <si>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</si>
  <si>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</si>
  <si>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</si>
  <si>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</si>
  <si>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</si>
  <si>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</si>
  <si>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</si>
  <si>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</si>
  <si>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</si>
  <si>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</si>
  <si>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</si>
  <si>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</si>
  <si>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</si>
  <si>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Participaciones Específicas en el Impuesto Especial Sobre Producción y Servicios</t>
  </si>
  <si>
    <t>FUENTES:</t>
  </si>
  <si>
    <t>Suma (10.1 + 10.2) = (10)</t>
  </si>
  <si>
    <t>ANEXO I</t>
  </si>
  <si>
    <t>MES</t>
  </si>
  <si>
    <t>FONDO DE FOMENTO MUNICIPAL</t>
  </si>
  <si>
    <t>FECHA LIMITE DE ENTREGA</t>
  </si>
  <si>
    <t>29</t>
  </si>
  <si>
    <t>30</t>
  </si>
  <si>
    <t>IMPUESTO ESPECIAL SOBRE PRODUCCION Y SERVICIOS</t>
  </si>
  <si>
    <t>FONDO DE FISCALIZACION Y RECAUDACION</t>
  </si>
  <si>
    <t>FONDO DE COMPENSACIÓN DEL IMPUESTO SOBRE AUTOMOVILES NUEVOS</t>
  </si>
  <si>
    <t>DISTRIBUCIÓN A MUNICIPIOS POR PARTICIPACION FEDERAL DEL FONDO DE COMPENSACION DE ISAN EJERCICIO 2020</t>
  </si>
  <si>
    <t>AYUNTAMIENTO</t>
  </si>
  <si>
    <t>A MUNICIPIOS</t>
  </si>
  <si>
    <t>MUNICIPIOS</t>
  </si>
  <si>
    <t>PARTICIPACION 2017</t>
  </si>
  <si>
    <t>INCREMENTO</t>
  </si>
  <si>
    <t xml:space="preserve">MUNICIPIO </t>
  </si>
  <si>
    <t>DISTRIBUCIÓN A MUNICIPIOS POR PARTICIPACION FEDERAL DEL FONDO DE COMPENSACION EJERCICIO 2014</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</si>
  <si>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</si>
  <si>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</si>
  <si>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</si>
  <si>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</si>
  <si>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</si>
  <si>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</si>
  <si>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</si>
  <si>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</si>
  <si>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</si>
  <si>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</si>
  <si>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</si>
  <si>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</si>
  <si>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</si>
  <si>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 xml:space="preserve"> </t>
  </si>
  <si>
    <t>Población                                2020</t>
  </si>
  <si>
    <t>Censo  de Población y Vivienda  2020</t>
  </si>
  <si>
    <t>Censo de Población y Vivienda 2020 Publicada en el Portal del INEGI 25 de Enero del 2021</t>
  </si>
  <si>
    <t>Censo 2020</t>
  </si>
  <si>
    <t>Población 2020</t>
  </si>
  <si>
    <t>ISR BIENES INMUEBLES</t>
  </si>
  <si>
    <t>IMPUESTO SOBRE LA RENTA</t>
  </si>
  <si>
    <t>IMPUESTO SOBRE AUTOMOVILES NUEVOS</t>
  </si>
  <si>
    <r>
      <rPr>
        <b/>
        <i/>
        <sz val="9"/>
        <color theme="1"/>
        <rFont val="Arial"/>
        <family val="2"/>
      </rPr>
      <t xml:space="preserve"> POBLACION.-</t>
    </r>
    <r>
      <rPr>
        <i/>
        <sz val="9"/>
        <color theme="1"/>
        <rFont val="Arial"/>
        <family val="2"/>
      </rPr>
      <t xml:space="preserve"> Censo de Población y Vivienda 2020. publicado el 25 de enero de 2021 en el Portal del INEGI </t>
    </r>
  </si>
  <si>
    <r>
      <rPr>
        <b/>
        <sz val="9"/>
        <color theme="1"/>
        <rFont val="Arial"/>
        <family val="2"/>
      </rPr>
      <t>ESTIMACION 2014.-</t>
    </r>
    <r>
      <rPr>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</si>
  <si>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sz val="9"/>
        <color theme="1"/>
        <rFont val="Arial"/>
        <family val="2"/>
      </rPr>
      <t>PREDIAL Y AGUA.-</t>
    </r>
    <r>
      <rPr>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</si>
  <si>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sz val="9"/>
        <color theme="1"/>
        <rFont val="Arial"/>
        <family val="2"/>
      </rPr>
      <t>POBLACION.-</t>
    </r>
    <r>
      <rPr>
        <sz val="9"/>
        <color theme="1"/>
        <rFont val="Arial"/>
        <family val="2"/>
      </rPr>
      <t xml:space="preserve"> Censo de Población y Vivienda 2020. publicado el 25 de enero de 2021 en el Portal del INEGI </t>
    </r>
  </si>
  <si>
    <t xml:space="preserve">POBLACION.- Censo de Población y Vivienda 2020. publicado el 25 de enero de 2021 en el Portal del INEGI </t>
  </si>
  <si>
    <r>
      <t xml:space="preserve">POBLACION.- </t>
    </r>
    <r>
      <rPr>
        <i/>
        <sz val="9"/>
        <color theme="1"/>
        <rFont val="Arial"/>
        <family val="2"/>
      </rPr>
      <t>Censo de Población y Vivienda 2020. publicado el 25 de enero de 2021 en el Portal del INEGI</t>
    </r>
    <r>
      <rPr>
        <b/>
        <i/>
        <sz val="9"/>
        <color theme="1"/>
        <rFont val="Arial"/>
        <family val="2"/>
      </rPr>
      <t xml:space="preserve"> </t>
    </r>
  </si>
  <si>
    <t>Calendarización del Calculo de distribución  de la estimación  del Fondo General de Participaciones de 2020</t>
  </si>
  <si>
    <t>Calendarización del Calculo de distribución  de la estimación del Fondo de Fomento Municipal de 2020</t>
  </si>
  <si>
    <t>Calendarización del Calculo de distribución de la estimación del Fondo de Compensación a los Municipios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</si>
  <si>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</si>
  <si>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</si>
  <si>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Calendarizacion del Calculo de distribución de la estimación de los Incentivos por el Impuesto Sobre Automóviles Nuevos de 2020</t>
  </si>
  <si>
    <t>RAMO GENERAL 28: PARTICIPACIONES A ENTIDADES FEDERATIVAS Y MUNICIPIOS</t>
  </si>
  <si>
    <t>ANUAL</t>
  </si>
  <si>
    <t>GARANTIZADA 2014</t>
  </si>
  <si>
    <t>EXCEDENTE</t>
  </si>
  <si>
    <t>IMPUESTO PREDIAL URBANO, IMPUESTO PREDIAL RUSTICO E IMPUESTO SOBRE ADQUISICION DE BIENES INMUEBLES. (SE PARTICIPA EL 100%)</t>
  </si>
  <si>
    <t>SUMA TOTAL</t>
  </si>
  <si>
    <t>TOTAL GENENRAL RECIBIDO</t>
  </si>
  <si>
    <t>TOTAL GENERAL DISTRIBUIDO</t>
  </si>
  <si>
    <r>
      <rPr>
        <b/>
        <sz val="11"/>
        <color theme="1"/>
        <rFont val="Arial"/>
        <family val="2"/>
      </rPr>
      <t>Población:</t>
    </r>
    <r>
      <rPr>
        <sz val="11"/>
        <color theme="1"/>
        <rFont val="Arial"/>
        <family val="2"/>
      </rPr>
      <t xml:space="preserve"> Censo Nacional de Población y Vivienda 2020 de INEGI</t>
    </r>
  </si>
  <si>
    <t>CORRESPONDIENTE AL 60% DEL CRECIMIENTO</t>
  </si>
  <si>
    <t>CORRESPONDIENTE AL 30% DEL CRECIMIENTO</t>
  </si>
  <si>
    <t>Porcentaje que representa los coeficiente C1 Y C2</t>
  </si>
  <si>
    <t>Porcentaje que representa la inversa proporcional         (16)</t>
  </si>
  <si>
    <t>CORRESPONDIENTE AL 10% DEL CRECIMIENTO</t>
  </si>
  <si>
    <t>(19)=(2+6+12+18)</t>
  </si>
  <si>
    <t>Las cifras pueden no coincidir por el redondeo</t>
  </si>
  <si>
    <r>
      <t>POBLACIÓN</t>
    </r>
    <r>
      <rPr>
        <sz val="11"/>
        <color theme="1"/>
        <rFont val="Calibri"/>
        <family val="2"/>
        <scheme val="minor"/>
      </rPr>
      <t xml:space="preserve">.- Censo de Población y Vivienda 2020. publicado el 25 de enero de 2021 en el Portal del INEGI </t>
    </r>
  </si>
  <si>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articulo 2 de la Ley de Coordinación Fiscal </t>
    </r>
  </si>
  <si>
    <t>Suma (6.1 + 6.2 + 6.3) = (3)</t>
  </si>
  <si>
    <t>Completo</t>
  </si>
  <si>
    <t>(INCREMENTO 2022)</t>
  </si>
  <si>
    <t>Calendarización del Calculo de distribución  de la estimación del Impuesto Especial Sobre Producción y Servicios de 2022</t>
  </si>
  <si>
    <t>No.</t>
  </si>
  <si>
    <t>FACTOR</t>
  </si>
  <si>
    <t xml:space="preserve">DE </t>
  </si>
  <si>
    <t>REC</t>
  </si>
  <si>
    <t>BAHIA DE BANDERAS</t>
  </si>
  <si>
    <t>SAN PEDRO LAGUINILLAS</t>
  </si>
  <si>
    <t>SANTA MARIA DEL ORO</t>
  </si>
  <si>
    <t>DISTRIBUCION DE PARTICIPACIONES DEL ISR DE ENAJENACION DE BIENES 2021</t>
  </si>
  <si>
    <t>ISR A CARGO POR AVANCE DEL POA DE METODOS SUSTANTIVOS ANUAL DE 2020</t>
  </si>
  <si>
    <t>ISR ENAJ 2021</t>
  </si>
  <si>
    <t>ISR ENAJENACION 2021</t>
  </si>
  <si>
    <t>RECAUDACION MPIOS.</t>
  </si>
  <si>
    <t>DOF-20/12/2021</t>
  </si>
  <si>
    <t>ISR ENAJENACION 2022</t>
  </si>
  <si>
    <t>FACTOR DE DISTRIB. 2022</t>
  </si>
  <si>
    <t>ISR Enajenación de Bienes</t>
  </si>
  <si>
    <t xml:space="preserve">ISR </t>
  </si>
  <si>
    <t>SUMA DE COEFICIENTES  EFECTIVOS  PARA 2022</t>
  </si>
  <si>
    <t xml:space="preserve">Coeficiente de Participación </t>
  </si>
  <si>
    <t xml:space="preserve">MUNICIPIOS </t>
  </si>
  <si>
    <t>OTROS INCENTIVOS DE 2023 DERIVADOS DE LOS CONVENIOS DE COLABORACION ADMINISTRATIVA EN MATERIA FISCAL FEDERAL</t>
  </si>
  <si>
    <t>DOF-19/12/2022</t>
  </si>
  <si>
    <t>SUMA DE COEFICIENTES  EFECTIVOS  PARA 2023</t>
  </si>
  <si>
    <t>Ejercicio:                                       2024</t>
  </si>
  <si>
    <t>Fondo General de Participaciones recibido en la Entidad 2024 (determinado por Hacienda)</t>
  </si>
  <si>
    <t>5.1 Primera parte 60% del crecimiento 2024</t>
  </si>
  <si>
    <t>5.2 Segunda parte 30% del crecimiento 2024</t>
  </si>
  <si>
    <t>5.3 Tercera parte 10% del crecimiento 2024</t>
  </si>
  <si>
    <t>Total Fondo General de Participaciones a distribuir en 2024 (3 + 4)</t>
  </si>
  <si>
    <t>Fondo de Fomento Municipal recibido en la Entidad 2024 (determinado por Hacienda)</t>
  </si>
  <si>
    <t>Fondo General de Participaciones crecimiento 2024 (3-4)</t>
  </si>
  <si>
    <t>Crecimiento del Fondo de Fomento Municipal 2024 (1-2)</t>
  </si>
  <si>
    <t>10.1 Primera parte 70% del crecimiento 2024</t>
  </si>
  <si>
    <t>10.2 Segunda parte 30% del crecimiento 2024</t>
  </si>
  <si>
    <t>Total Fondo  de Fomento  Municipal a distribuir en 2024 (8 + 9)</t>
  </si>
  <si>
    <t>Fondo de Fiscalizacion recibido en la Entidad 2024 (determinado por Hacienda)</t>
  </si>
  <si>
    <t>Crecimiento del Fondo de Fiscalizacion en 2024 (9-10)</t>
  </si>
  <si>
    <t>Fondo de Compensacion recibido en la Entidad 2024 (determinado por Hacienda)</t>
  </si>
  <si>
    <t>Crecimiento del Fondo de Compensación en 2024 (12-13)</t>
  </si>
  <si>
    <t>Fondo de Impuesto sobre la renta recibido en la Entidad 2024 (determinado por Hacienda)</t>
  </si>
  <si>
    <t>Crecimiento del Fondo de ISR 2024 (15-16)</t>
  </si>
  <si>
    <t>Impuesto Especial s/Producción y Servicios  recibido en la Entidad 2024 (determinado por Hacienda)</t>
  </si>
  <si>
    <t>Crecimiento del Impuesto Especial s/Producción y Servicios en 2024 (18-19)</t>
  </si>
  <si>
    <t>Impuesto Especial s/Producción y Servicios  (G y D)recibido en la Entidad 2024 (determinado por Hacienda)</t>
  </si>
  <si>
    <t>Crecimiento del Impuesto Especial s/Producción y Servicios en 2024 (21-22)</t>
  </si>
  <si>
    <t>Impuesto sobre automóviles nuevos ISAN, recibido en la Entidad 2024 (determinado por Hacienda)</t>
  </si>
  <si>
    <t>Crecimiento del Impuesto sobre Automóviles Nuevos ISAN en 2024 (24-25)</t>
  </si>
  <si>
    <t>Fondo de Compensacion sobre el ISAN, recibido en la Entidad 2024 (determinado por Hacienda)</t>
  </si>
  <si>
    <t>Fondo General de Participaciones recibido en la Entidad  2024</t>
  </si>
  <si>
    <t>6.1 Primera parte 60% del crecimiento 2024</t>
  </si>
  <si>
    <t>6.2 Segunda parte 30% del crecimiento 2024</t>
  </si>
  <si>
    <t>6.3 Tercera parte 10% del crecimiento 2024</t>
  </si>
  <si>
    <t>Estimación de Participaciones Federales que recibirán cada uno de los veinte Municipios del Estado de Nayarit en el ejercicio Fiscal 2024</t>
  </si>
  <si>
    <t>Cálculo de distribución  de la estimación  del Fondo General de Participaciones de 2024</t>
  </si>
  <si>
    <t>Cálculo de distribución  de la estimación del Fondo de Fomento Municipal de 2024</t>
  </si>
  <si>
    <t>Cálculo de distribución de la estimación del Fondo de Fiscalización y Recaudación de 2024</t>
  </si>
  <si>
    <t>Cálculo de distribución  de la estimación del Impuesto Especial Sobre Producción y Servicios de 2024</t>
  </si>
  <si>
    <t>Factor de Distribución 2024</t>
  </si>
  <si>
    <t>Cálculo de distribución  Nuevas Potestades  Gasolina y Diesel de 2024</t>
  </si>
  <si>
    <t>Distribución correspondiente a septiembre 2024</t>
  </si>
  <si>
    <t>Distribución calendarizada a Municipios de Nuevas Potestades Gasolina y Diesel de 2024</t>
  </si>
  <si>
    <t>Fondo General de Participaciones base  2014 (recibido y distribuido en el 2014)</t>
  </si>
  <si>
    <t>(7=2+4+6)</t>
  </si>
  <si>
    <t>Impuesto sobre Automoviles Nuevos</t>
  </si>
  <si>
    <t>Impuesto sobre Automoviles Nuevos base de distribución</t>
  </si>
  <si>
    <t xml:space="preserve">6.1 Primera parte 60% </t>
  </si>
  <si>
    <t>6.2 Segunda parte 30%</t>
  </si>
  <si>
    <t>6.3 Tercera parte 10%</t>
  </si>
  <si>
    <t>Total Fondo de Compensación sobre el ISAN a distribuir (6.1+6.2+6.3)</t>
  </si>
  <si>
    <t xml:space="preserve">6.3 Tercera parte 10% </t>
  </si>
  <si>
    <t>Total del Impuesto Sobre Automoviles Nuevos a distribuir (6.1+6.2+6.3)</t>
  </si>
  <si>
    <t>FFondo de Compensación sobre el ISAN recibido en la Entidad  2024</t>
  </si>
  <si>
    <t>Fondo de Compensación sobre el ISAN base  de distribución</t>
  </si>
  <si>
    <t>(3=(∑3*2)/100)</t>
  </si>
  <si>
    <t>(2=(1/∑1)*100)</t>
  </si>
  <si>
    <t>CALENDARIO DE ENTREGA DE PARTICIPACIONES FEDERALES A LOS MUNICIPIOS CORRESPONDIENTE AL EJERCICIO FISCAL 2024</t>
  </si>
  <si>
    <t>Cálculo de distribución de la estimación de los Incentivos por el Impuesto Sobre Automóviles Nuevos de 2024</t>
  </si>
  <si>
    <t>Cálculo de distribución de la estimación del Fondo de Compensación del  Impuesto Sobre Automóviles Nuevos de 2024</t>
  </si>
  <si>
    <t>Cálculo de la Distribución de ISR Enajenación de Bienes de 2024</t>
  </si>
  <si>
    <t>DISTRIBUCION DE PARTICIPACIONES DEL IMPUESTO SOBRE LA RENTA EJERCICIO 2024</t>
  </si>
  <si>
    <t>07</t>
  </si>
  <si>
    <t>01</t>
  </si>
  <si>
    <t>06</t>
  </si>
  <si>
    <t>02</t>
  </si>
  <si>
    <t>04</t>
  </si>
  <si>
    <t>05</t>
  </si>
  <si>
    <t>ENERO 2025</t>
  </si>
  <si>
    <t>17</t>
  </si>
  <si>
    <t xml:space="preserve"> FONDO GENERAL DE PARTICIPACIONES 2024</t>
  </si>
  <si>
    <t xml:space="preserve"> FONDO DE FOMENTO MUNICIPAL 2024</t>
  </si>
  <si>
    <t>PARTICIPACIONES ESPECIFICAS EN EL IMPUESTO  ESPECIAL SOBRE PRODUCCION Y SERVICIOS 2024</t>
  </si>
  <si>
    <t>POR VENTA  DE GASOLINA Y DIESEL 2024</t>
  </si>
  <si>
    <t xml:space="preserve"> FONDO DE FISCALIZACION Y RECAUDACION 2024</t>
  </si>
  <si>
    <t xml:space="preserve"> FONDO DE COMPENSACION 2024</t>
  </si>
  <si>
    <t>INCENTIVOS POR EL IMPUESTO SOBRE AUTOMOVILES NUEVOS 2024</t>
  </si>
  <si>
    <t>FONDO DE COMPENSACION DE ISAN 2024</t>
  </si>
  <si>
    <t>INCENTIVOS POR EL IMPUESTO SOBRE AUTOMOVILES NUEVOS  2024 (INCLUYE FONDO DE COMPENSACION DE ISAN)</t>
  </si>
  <si>
    <t>PARTICIPACION DEL 100% DE LA RECAUDACION ISR 2024</t>
  </si>
  <si>
    <t>FONDO DE COMPENSACION DE REPECOS E INTERMEDIOS 2024</t>
  </si>
  <si>
    <t>OTROS INCENTIVOS DE 2024 DERIVADOS DE LOS CONVENIOS DE COLABORACION ADMINISTRATIVA EN MATERIA FISCAL FEDERAL</t>
  </si>
  <si>
    <t>TENENCIA ESTATAL 2024</t>
  </si>
  <si>
    <t>INGRESOS MUNICIPAES COORDINADOS 2024</t>
  </si>
  <si>
    <t>FONDO DE APORTACIONES PARA LA INFRAESTRUCTUTA SOCIAL MUNICIPAL (FAIS) 2024</t>
  </si>
  <si>
    <t>FONDO DE APORTACIONES PARA EL FORTALECIMIENTO DE LOS MUNICIPIOS (FORTAMUN) 2024</t>
  </si>
  <si>
    <t>ISR ENAJENACION DE BIENES INMUEBLES 2024</t>
  </si>
  <si>
    <t xml:space="preserve">  PARTICIPACIONES A LA VENTA FINAL DE GASOLINAS Y DIESEL 2024</t>
  </si>
  <si>
    <t xml:space="preserve"> FONDO DE FISCALIZACION  Y RECAUDACION 2024</t>
  </si>
  <si>
    <t>INCENTIVOS POR EL IMPUESTO SOBRE AUTOMOVILES NUEVOS  DE 2024</t>
  </si>
  <si>
    <t>FONDO DE COMPENSACION DEL IMPUESTO SOBRE AUTOMOVILES NUEVOS (ISAN) 2024</t>
  </si>
  <si>
    <t>PARTICIPACIONES POR EL 100% DE LA RECAUDACION DEL ISR QUE SE ENTERE A LA FEDERACION, POR EL SALARIO DEL PERSONAL DE LAS ENTIDADES EN 2024</t>
  </si>
  <si>
    <t>FONDO DE COMPENSACION DE REPECOS E INTERMEDIOS DE 2024</t>
  </si>
  <si>
    <t>FACTOR DE DISTRIB. 2024</t>
  </si>
  <si>
    <t>NUEVAS POTESTADES (GASOLINA Y DIESEL) Y FONDO DE COMPENSACIÓN (EN TANTO EL ESTADO  LO RECIBA)</t>
  </si>
  <si>
    <t>Nuevas Potestades (Gasolinas y Diésel)</t>
  </si>
  <si>
    <t>Total Fondo de Fondo de Fomento Municipal</t>
  </si>
  <si>
    <t>Total a Distribuir por Crecimiento</t>
  </si>
  <si>
    <t>Absoluta No. de Habitantes</t>
  </si>
  <si>
    <t xml:space="preserve"> Recaudación de Predial y Agua 2022</t>
  </si>
  <si>
    <t>por Población</t>
  </si>
  <si>
    <t>Distribución por</t>
  </si>
  <si>
    <t>Distribucion por</t>
  </si>
  <si>
    <t xml:space="preserve">Crecimiento del FOFIR </t>
  </si>
  <si>
    <t xml:space="preserve">Crecimiento del IEPS  </t>
  </si>
  <si>
    <t>Distribución calendarizada a Municipios por Participación Federal del Impuesto Especial Sobre Producción y Servicios de 2024</t>
  </si>
  <si>
    <t>Distribución calendarizada a Municipios de los Incentivos por el Impuesto Sobre Automóviles Nuevos de 2024</t>
  </si>
  <si>
    <t>Distribución calendarizada a Municipios por Participación Federal del Fondo de Compensación del  Impuesto Sobre Automóviles Nuevos de 2024</t>
  </si>
  <si>
    <t>Distribución calendarizada a Municipios por Participación Federal del Impuesto Sobre la Renta de 2024</t>
  </si>
  <si>
    <t>Distribución calendarizada  a Municipios por Participación Federal del Fondo General de Participaciones de 2024</t>
  </si>
  <si>
    <t>Distribución calendarizada a Municipios por Participación Federal del Fondo de Fomento Municipal de 2024</t>
  </si>
  <si>
    <t>Distribución calendarizada a Municipios por Participacion Federal del Fondo de Fiscalización de 2024</t>
  </si>
  <si>
    <t>Distribución calendarizada a Municipios por Participación Federal del ISR Enajenación de Bienes de 2024</t>
  </si>
  <si>
    <t>Correspondiente al 60% del Crecimiento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</si>
</sst>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0.00_ ;[Red]\-#,##0.00\ "/>
  </numFmts>
  <fonts count="54"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9"/>
      <color theme="1"/>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
      <sz val="9"/>
      <color theme="3"/>
      <name val="Arial"/>
      <family val="2"/>
    </font>
    <font>
      <b/>
      <sz val="20"/>
      <color theme="0"/>
      <name val="Arial"/>
      <family val="2"/>
    </font>
    <font>
      <sz val="6"/>
      <name val="Arial"/>
      <family val="2"/>
    </font>
    <font>
      <b/>
      <sz val="12"/>
      <color theme="1"/>
      <name val="Calibri"/>
      <family val="2"/>
      <scheme val="minor"/>
    </font>
    <font>
      <b/>
      <sz val="6"/>
      <name val="Arial"/>
      <family val="2"/>
    </font>
    <font>
      <sz val="7"/>
      <name val="Arial"/>
      <family val="2"/>
    </font>
    <font>
      <b/>
      <sz val="10"/>
      <color theme="1"/>
      <name val="Calibri"/>
      <family val="2"/>
      <scheme val="minor"/>
    </font>
    <font>
      <sz val="11"/>
      <color theme="0"/>
      <name val="Arial"/>
      <family val="2"/>
    </font>
    <font>
      <b/>
      <sz val="11"/>
      <color theme="0"/>
      <name val="Arial"/>
      <family val="2"/>
    </font>
    <font>
      <b/>
      <sz val="10"/>
      <color theme="0"/>
      <name val="Arial"/>
      <family val="2"/>
    </font>
  </fonts>
  <fills count="21">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6" tint="-0.249977111117893"/>
        <bgColor indexed="64"/>
      </patternFill>
    </fill>
    <fill>
      <patternFill patternType="solid">
        <fgColor rgb="FF7030A0"/>
        <bgColor indexed="64"/>
      </patternFill>
    </fill>
    <fill>
      <patternFill patternType="solid">
        <fgColor rgb="FF92D050"/>
        <bgColor indexed="64"/>
      </patternFill>
    </fill>
    <fill>
      <patternFill patternType="solid">
        <fgColor theme="4"/>
        <bgColor indexed="64"/>
      </patternFill>
    </fill>
    <fill>
      <patternFill patternType="solid">
        <fgColor rgb="FFFFFF99"/>
        <bgColor indexed="64"/>
      </patternFill>
    </fill>
    <fill>
      <patternFill patternType="solid">
        <fgColor indexed="43"/>
        <bgColor indexed="64"/>
      </patternFill>
    </fill>
    <fill>
      <patternFill patternType="solid">
        <fgColor rgb="FFFFFFFF"/>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000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ck">
        <color auto="1"/>
      </left>
      <right style="thick">
        <color auto="1"/>
      </right>
      <top style="thick">
        <color auto="1"/>
      </top>
      <bottom style="thick">
        <color auto="1"/>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0" fontId="28" fillId="0" borderId="0"/>
    <xf numFmtId="0" fontId="28" fillId="0" borderId="0"/>
    <xf numFmtId="0" fontId="28" fillId="0" borderId="0"/>
    <xf numFmtId="0" fontId="1" fillId="0" borderId="0"/>
    <xf numFmtId="44" fontId="28" fillId="0" borderId="0" applyFont="0" applyFill="0" applyBorder="0" applyAlignment="0" applyProtection="0"/>
    <xf numFmtId="9" fontId="28" fillId="0" borderId="0" applyFont="0" applyFill="0" applyBorder="0" applyAlignment="0" applyProtection="0"/>
  </cellStyleXfs>
  <cellXfs count="1259">
    <xf numFmtId="0" fontId="0" fillId="0" borderId="0" xfId="0"/>
    <xf numFmtId="0" fontId="5"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xf numFmtId="0" fontId="0" fillId="0" borderId="0" xfId="0" applyFill="1"/>
    <xf numFmtId="49" fontId="6" fillId="0" borderId="0" xfId="0" applyNumberFormat="1" applyFont="1" applyBorder="1" applyAlignment="1">
      <alignment horizontal="right"/>
    </xf>
    <xf numFmtId="49" fontId="6" fillId="0" borderId="0" xfId="0" applyNumberFormat="1" applyFont="1" applyBorder="1"/>
    <xf numFmtId="0" fontId="7" fillId="0" borderId="0" xfId="0" applyFont="1"/>
    <xf numFmtId="0" fontId="0" fillId="0" borderId="0" xfId="0" applyAlignment="1">
      <alignment horizontal="center"/>
    </xf>
    <xf numFmtId="0" fontId="8" fillId="0" borderId="0" xfId="0" applyFont="1" applyAlignment="1">
      <alignment horizontal="center"/>
    </xf>
    <xf numFmtId="0" fontId="9" fillId="0" borderId="0" xfId="0" applyFont="1"/>
    <xf numFmtId="0" fontId="8" fillId="0" borderId="0" xfId="0" applyFont="1" applyAlignment="1">
      <alignment horizontal="center"/>
    </xf>
    <xf numFmtId="0" fontId="8" fillId="0" borderId="8" xfId="0" applyFont="1" applyBorder="1" applyAlignment="1">
      <alignment horizontal="center"/>
    </xf>
    <xf numFmtId="49" fontId="8" fillId="0" borderId="32" xfId="0" applyNumberFormat="1" applyFont="1" applyBorder="1" applyAlignment="1">
      <alignment horizontal="center"/>
    </xf>
    <xf numFmtId="0" fontId="7" fillId="0" borderId="41" xfId="0" applyFont="1" applyBorder="1"/>
    <xf numFmtId="164" fontId="7" fillId="0" borderId="12" xfId="1" applyNumberFormat="1" applyFont="1" applyBorder="1" applyAlignment="1">
      <alignment horizontal="center"/>
    </xf>
    <xf numFmtId="165" fontId="7" fillId="2" borderId="10" xfId="1" applyNumberFormat="1" applyFont="1" applyFill="1" applyBorder="1"/>
    <xf numFmtId="166" fontId="7" fillId="0" borderId="10" xfId="0" applyNumberFormat="1" applyFont="1" applyBorder="1"/>
    <xf numFmtId="3" fontId="7" fillId="0" borderId="10" xfId="0" applyNumberFormat="1" applyFont="1" applyBorder="1"/>
    <xf numFmtId="167" fontId="7" fillId="0" borderId="10" xfId="0" applyNumberFormat="1" applyFont="1" applyBorder="1"/>
    <xf numFmtId="165" fontId="7" fillId="2" borderId="10" xfId="0" applyNumberFormat="1" applyFont="1" applyFill="1" applyBorder="1" applyAlignment="1">
      <alignment horizontal="right"/>
    </xf>
    <xf numFmtId="165" fontId="7" fillId="0" borderId="10" xfId="0" applyNumberFormat="1" applyFont="1" applyBorder="1"/>
    <xf numFmtId="3" fontId="7" fillId="0" borderId="42" xfId="0" applyNumberFormat="1" applyFont="1" applyBorder="1"/>
    <xf numFmtId="0" fontId="0" fillId="0" borderId="0" xfId="0" applyAlignment="1"/>
    <xf numFmtId="0" fontId="7" fillId="0" borderId="45" xfId="0" applyFont="1" applyBorder="1"/>
    <xf numFmtId="164" fontId="7" fillId="0" borderId="3" xfId="1" applyNumberFormat="1" applyFont="1" applyBorder="1" applyAlignment="1">
      <alignment horizontal="center"/>
    </xf>
    <xf numFmtId="165" fontId="7" fillId="2" borderId="4" xfId="1" applyNumberFormat="1" applyFont="1" applyFill="1" applyBorder="1"/>
    <xf numFmtId="166" fontId="7" fillId="0" borderId="4" xfId="0" applyNumberFormat="1" applyFont="1" applyBorder="1"/>
    <xf numFmtId="3" fontId="13" fillId="0" borderId="4" xfId="0" applyNumberFormat="1" applyFont="1" applyBorder="1" applyAlignment="1">
      <alignment horizontal="right" vertical="center" wrapText="1"/>
    </xf>
    <xf numFmtId="167" fontId="7" fillId="0" borderId="4" xfId="0" applyNumberFormat="1" applyFont="1" applyBorder="1"/>
    <xf numFmtId="165" fontId="7" fillId="2" borderId="4" xfId="0" applyNumberFormat="1" applyFont="1" applyFill="1" applyBorder="1" applyAlignment="1">
      <alignment horizontal="right"/>
    </xf>
    <xf numFmtId="3" fontId="7" fillId="0" borderId="4" xfId="0" applyNumberFormat="1" applyFont="1" applyBorder="1"/>
    <xf numFmtId="165" fontId="7" fillId="0" borderId="4" xfId="0" applyNumberFormat="1" applyFont="1" applyBorder="1"/>
    <xf numFmtId="3" fontId="7" fillId="0" borderId="1" xfId="0" applyNumberFormat="1" applyFont="1" applyBorder="1"/>
    <xf numFmtId="0" fontId="7" fillId="0" borderId="48" xfId="0" applyFont="1" applyBorder="1"/>
    <xf numFmtId="164" fontId="7" fillId="0" borderId="7" xfId="1" applyNumberFormat="1" applyFont="1" applyBorder="1" applyAlignment="1">
      <alignment horizontal="center"/>
    </xf>
    <xf numFmtId="165" fontId="7" fillId="2" borderId="5" xfId="1" applyNumberFormat="1" applyFont="1" applyFill="1" applyBorder="1"/>
    <xf numFmtId="166" fontId="7" fillId="0" borderId="5" xfId="0" applyNumberFormat="1" applyFont="1" applyBorder="1"/>
    <xf numFmtId="3" fontId="7" fillId="0" borderId="5" xfId="0" applyNumberFormat="1" applyFont="1" applyBorder="1"/>
    <xf numFmtId="167" fontId="7" fillId="0" borderId="5" xfId="0" applyNumberFormat="1" applyFont="1" applyBorder="1"/>
    <xf numFmtId="165" fontId="7" fillId="2" borderId="5" xfId="0" applyNumberFormat="1" applyFont="1" applyFill="1" applyBorder="1" applyAlignment="1">
      <alignment horizontal="right"/>
    </xf>
    <xf numFmtId="165" fontId="7" fillId="0" borderId="5" xfId="0" applyNumberFormat="1" applyFont="1" applyBorder="1"/>
    <xf numFmtId="3" fontId="7" fillId="0" borderId="26" xfId="0" applyNumberFormat="1" applyFont="1" applyBorder="1"/>
    <xf numFmtId="0" fontId="8" fillId="0" borderId="49" xfId="0" applyFont="1" applyBorder="1"/>
    <xf numFmtId="164" fontId="8" fillId="0" borderId="50" xfId="1" applyNumberFormat="1" applyFont="1" applyBorder="1" applyAlignment="1">
      <alignment horizontal="center"/>
    </xf>
    <xf numFmtId="165" fontId="8" fillId="2" borderId="51" xfId="1" applyNumberFormat="1" applyFont="1" applyFill="1" applyBorder="1"/>
    <xf numFmtId="2" fontId="8" fillId="0" borderId="51" xfId="0" applyNumberFormat="1" applyFont="1" applyBorder="1"/>
    <xf numFmtId="3" fontId="8" fillId="0" borderId="51" xfId="0" applyNumberFormat="1" applyFont="1" applyBorder="1"/>
    <xf numFmtId="4" fontId="8" fillId="0" borderId="51" xfId="0" applyNumberFormat="1" applyFont="1" applyBorder="1"/>
    <xf numFmtId="165" fontId="8" fillId="2" borderId="51" xfId="0" applyNumberFormat="1" applyFont="1" applyFill="1" applyBorder="1" applyAlignment="1">
      <alignment horizontal="right"/>
    </xf>
    <xf numFmtId="166" fontId="7" fillId="0" borderId="51" xfId="0" applyNumberFormat="1" applyFont="1" applyBorder="1"/>
    <xf numFmtId="4" fontId="7" fillId="0" borderId="51" xfId="0" applyNumberFormat="1" applyFont="1" applyBorder="1"/>
    <xf numFmtId="3" fontId="7" fillId="0" borderId="51" xfId="0" applyNumberFormat="1" applyFont="1" applyBorder="1"/>
    <xf numFmtId="165" fontId="7" fillId="0" borderId="51" xfId="0" applyNumberFormat="1" applyFont="1" applyBorder="1"/>
    <xf numFmtId="3" fontId="7" fillId="0" borderId="52" xfId="0" applyNumberFormat="1" applyFont="1" applyBorder="1"/>
    <xf numFmtId="0" fontId="7" fillId="0" borderId="0" xfId="0" applyFont="1" applyAlignment="1"/>
    <xf numFmtId="0" fontId="7" fillId="0" borderId="0" xfId="0" applyFont="1" applyAlignment="1">
      <alignment horizontal="center"/>
    </xf>
    <xf numFmtId="165" fontId="0" fillId="0" borderId="0" xfId="0" applyNumberFormat="1"/>
    <xf numFmtId="166" fontId="0" fillId="0" borderId="0" xfId="0" applyNumberFormat="1"/>
    <xf numFmtId="0" fontId="6" fillId="0" borderId="60" xfId="0" applyFont="1" applyFill="1" applyBorder="1"/>
    <xf numFmtId="164" fontId="6" fillId="0" borderId="43" xfId="1" applyNumberFormat="1" applyFont="1" applyFill="1" applyBorder="1" applyAlignment="1">
      <alignment horizontal="center"/>
    </xf>
    <xf numFmtId="165" fontId="6" fillId="0" borderId="44" xfId="1" applyNumberFormat="1" applyFont="1" applyFill="1" applyBorder="1"/>
    <xf numFmtId="3" fontId="6" fillId="0" borderId="43" xfId="0" applyNumberFormat="1" applyFont="1" applyFill="1" applyBorder="1"/>
    <xf numFmtId="166" fontId="6" fillId="0" borderId="10" xfId="0" applyNumberFormat="1" applyFont="1" applyFill="1" applyBorder="1"/>
    <xf numFmtId="167" fontId="6" fillId="0" borderId="10" xfId="0" applyNumberFormat="1" applyFont="1" applyFill="1" applyBorder="1"/>
    <xf numFmtId="165" fontId="6" fillId="0" borderId="44" xfId="0" applyNumberFormat="1" applyFont="1" applyFill="1" applyBorder="1" applyAlignment="1">
      <alignment horizontal="right"/>
    </xf>
    <xf numFmtId="165" fontId="6" fillId="0" borderId="43" xfId="0" applyNumberFormat="1" applyFont="1" applyFill="1" applyBorder="1" applyAlignment="1">
      <alignment horizontal="right"/>
    </xf>
    <xf numFmtId="165" fontId="6" fillId="0" borderId="10" xfId="0" applyNumberFormat="1" applyFont="1" applyFill="1" applyBorder="1" applyAlignment="1">
      <alignment horizontal="right"/>
    </xf>
    <xf numFmtId="3" fontId="6" fillId="0" borderId="44" xfId="0" applyNumberFormat="1" applyFont="1" applyFill="1" applyBorder="1"/>
    <xf numFmtId="165" fontId="6" fillId="0" borderId="12" xfId="0" applyNumberFormat="1" applyFont="1" applyFill="1" applyBorder="1"/>
    <xf numFmtId="3" fontId="6" fillId="0" borderId="42" xfId="0" applyNumberFormat="1" applyFont="1" applyFill="1" applyBorder="1"/>
    <xf numFmtId="165" fontId="6"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6" fillId="0" borderId="46" xfId="1" applyNumberFormat="1" applyFont="1" applyFill="1" applyBorder="1" applyAlignment="1">
      <alignment horizontal="center"/>
    </xf>
    <xf numFmtId="166" fontId="6" fillId="0" borderId="4" xfId="0" applyNumberFormat="1" applyFont="1" applyFill="1" applyBorder="1"/>
    <xf numFmtId="165" fontId="6" fillId="0" borderId="3" xfId="0" applyNumberFormat="1" applyFont="1" applyFill="1" applyBorder="1"/>
    <xf numFmtId="0" fontId="6" fillId="0" borderId="62" xfId="0" applyFont="1" applyFill="1" applyBorder="1"/>
    <xf numFmtId="0" fontId="5" fillId="0" borderId="59" xfId="0" applyFont="1" applyFill="1" applyBorder="1"/>
    <xf numFmtId="0" fontId="7" fillId="0" borderId="0" xfId="0" applyFont="1" applyFill="1"/>
    <xf numFmtId="0" fontId="7" fillId="0" borderId="0" xfId="0" applyFont="1" applyFill="1" applyAlignment="1">
      <alignment horizontal="center"/>
    </xf>
    <xf numFmtId="0" fontId="7" fillId="0" borderId="0" xfId="0" applyFont="1" applyBorder="1" applyAlignment="1">
      <alignment horizontal="center" vertical="center"/>
    </xf>
    <xf numFmtId="0" fontId="4" fillId="0" borderId="0" xfId="0" applyFont="1"/>
    <xf numFmtId="0" fontId="8" fillId="0" borderId="5" xfId="0" applyFont="1" applyBorder="1" applyAlignment="1">
      <alignment horizontal="center"/>
    </xf>
    <xf numFmtId="0" fontId="8" fillId="0" borderId="17" xfId="0" applyFont="1" applyBorder="1" applyAlignment="1">
      <alignment wrapText="1"/>
    </xf>
    <xf numFmtId="0" fontId="8" fillId="0" borderId="0" xfId="0" applyFont="1" applyBorder="1" applyAlignment="1"/>
    <xf numFmtId="9" fontId="8" fillId="0" borderId="0" xfId="0" applyNumberFormat="1" applyFont="1" applyBorder="1" applyAlignment="1">
      <alignment horizontal="center"/>
    </xf>
    <xf numFmtId="49" fontId="8" fillId="0" borderId="59" xfId="0" applyNumberFormat="1" applyFont="1" applyBorder="1" applyAlignment="1">
      <alignment horizontal="center"/>
    </xf>
    <xf numFmtId="49" fontId="8" fillId="0" borderId="11" xfId="0" applyNumberFormat="1" applyFont="1" applyBorder="1" applyAlignment="1">
      <alignment horizontal="center"/>
    </xf>
    <xf numFmtId="49" fontId="8" fillId="0" borderId="22" xfId="0" applyNumberFormat="1" applyFont="1" applyBorder="1" applyAlignment="1">
      <alignment horizontal="center"/>
    </xf>
    <xf numFmtId="49" fontId="8" fillId="0" borderId="65" xfId="0" applyNumberFormat="1" applyFont="1" applyBorder="1" applyAlignment="1">
      <alignment horizontal="center"/>
    </xf>
    <xf numFmtId="49" fontId="7" fillId="0" borderId="39" xfId="0" applyNumberFormat="1" applyFont="1" applyBorder="1" applyAlignment="1">
      <alignment horizontal="center"/>
    </xf>
    <xf numFmtId="49" fontId="8" fillId="0" borderId="67" xfId="0" applyNumberFormat="1" applyFont="1" applyFill="1" applyBorder="1" applyAlignment="1">
      <alignment horizontal="center"/>
    </xf>
    <xf numFmtId="49" fontId="8" fillId="0" borderId="68" xfId="0" applyNumberFormat="1" applyFont="1" applyBorder="1" applyAlignment="1">
      <alignment horizontal="center"/>
    </xf>
    <xf numFmtId="0" fontId="8" fillId="0" borderId="64" xfId="0" applyFont="1" applyBorder="1" applyAlignment="1">
      <alignment horizontal="center" vertical="center"/>
    </xf>
    <xf numFmtId="0" fontId="7" fillId="0" borderId="57" xfId="0" applyFont="1" applyFill="1" applyBorder="1"/>
    <xf numFmtId="164" fontId="7" fillId="0" borderId="0" xfId="1" applyNumberFormat="1" applyFont="1" applyBorder="1" applyAlignment="1">
      <alignment horizontal="center"/>
    </xf>
    <xf numFmtId="3" fontId="7" fillId="0" borderId="57" xfId="0" applyNumberFormat="1" applyFont="1" applyBorder="1"/>
    <xf numFmtId="3" fontId="7" fillId="0" borderId="69" xfId="0" applyNumberFormat="1" applyFont="1" applyFill="1" applyBorder="1"/>
    <xf numFmtId="3" fontId="7" fillId="0" borderId="0" xfId="0" applyNumberFormat="1" applyFont="1" applyBorder="1"/>
    <xf numFmtId="167" fontId="0" fillId="0" borderId="0" xfId="0" applyNumberFormat="1"/>
    <xf numFmtId="4" fontId="0" fillId="0" borderId="0" xfId="0" applyNumberFormat="1"/>
    <xf numFmtId="167" fontId="4" fillId="0" borderId="0" xfId="0" applyNumberFormat="1" applyFont="1"/>
    <xf numFmtId="0" fontId="8" fillId="0" borderId="57" xfId="0" applyFont="1" applyFill="1" applyBorder="1"/>
    <xf numFmtId="164" fontId="8" fillId="0" borderId="0" xfId="1" applyNumberFormat="1" applyFont="1" applyFill="1" applyBorder="1" applyAlignment="1">
      <alignment horizontal="center"/>
    </xf>
    <xf numFmtId="3" fontId="8" fillId="0" borderId="0" xfId="0" applyNumberFormat="1" applyFont="1" applyFill="1" applyBorder="1"/>
    <xf numFmtId="3" fontId="8" fillId="0" borderId="57" xfId="0" applyNumberFormat="1" applyFont="1" applyBorder="1"/>
    <xf numFmtId="4" fontId="0" fillId="0" borderId="0" xfId="0" applyNumberFormat="1" applyFill="1"/>
    <xf numFmtId="0" fontId="4" fillId="0" borderId="0" xfId="0" applyFont="1" applyFill="1"/>
    <xf numFmtId="167" fontId="4" fillId="0" borderId="0" xfId="0" applyNumberFormat="1" applyFont="1" applyFill="1"/>
    <xf numFmtId="164" fontId="7" fillId="0" borderId="0" xfId="1" applyNumberFormat="1" applyFont="1" applyFill="1" applyBorder="1" applyAlignment="1">
      <alignment horizontal="center"/>
    </xf>
    <xf numFmtId="3" fontId="7" fillId="0" borderId="0" xfId="0" applyNumberFormat="1" applyFont="1" applyFill="1" applyBorder="1"/>
    <xf numFmtId="0" fontId="7" fillId="0" borderId="59" xfId="0" applyFont="1" applyFill="1" applyBorder="1"/>
    <xf numFmtId="3" fontId="8" fillId="0" borderId="51" xfId="0" applyNumberFormat="1" applyFont="1" applyFill="1" applyBorder="1"/>
    <xf numFmtId="4" fontId="7" fillId="0" borderId="0" xfId="0" applyNumberFormat="1" applyFont="1"/>
    <xf numFmtId="0" fontId="8" fillId="0" borderId="5" xfId="0"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xf>
    <xf numFmtId="49" fontId="8" fillId="0" borderId="10" xfId="0" applyNumberFormat="1" applyFont="1" applyBorder="1" applyAlignment="1">
      <alignment horizontal="center"/>
    </xf>
    <xf numFmtId="0" fontId="7" fillId="0" borderId="26" xfId="0" applyFont="1" applyBorder="1"/>
    <xf numFmtId="164" fontId="7" fillId="0" borderId="6" xfId="1" applyNumberFormat="1" applyFont="1" applyBorder="1" applyAlignment="1">
      <alignment horizontal="center"/>
    </xf>
    <xf numFmtId="4" fontId="7" fillId="0" borderId="6" xfId="0" applyNumberFormat="1" applyFont="1" applyBorder="1"/>
    <xf numFmtId="0" fontId="7" fillId="0" borderId="69" xfId="0" applyFont="1" applyBorder="1"/>
    <xf numFmtId="4" fontId="7" fillId="0" borderId="0" xfId="0" applyNumberFormat="1" applyFont="1" applyBorder="1"/>
    <xf numFmtId="0" fontId="8" fillId="0" borderId="4" xfId="0" applyFont="1" applyBorder="1"/>
    <xf numFmtId="164" fontId="8" fillId="0" borderId="4" xfId="1" applyNumberFormat="1" applyFont="1" applyBorder="1" applyAlignment="1">
      <alignment horizontal="center"/>
    </xf>
    <xf numFmtId="0" fontId="8" fillId="0" borderId="0" xfId="0" applyFont="1" applyFill="1" applyBorder="1" applyAlignment="1">
      <alignment horizontal="center"/>
    </xf>
    <xf numFmtId="0" fontId="7" fillId="0" borderId="13" xfId="0" applyFont="1" applyBorder="1"/>
    <xf numFmtId="2" fontId="0" fillId="0" borderId="0" xfId="0" applyNumberFormat="1"/>
    <xf numFmtId="0" fontId="7" fillId="0" borderId="23" xfId="0" applyFont="1" applyBorder="1"/>
    <xf numFmtId="0" fontId="7" fillId="0" borderId="31" xfId="0" applyFont="1" applyBorder="1"/>
    <xf numFmtId="0" fontId="8" fillId="0" borderId="20" xfId="0" applyFont="1" applyBorder="1"/>
    <xf numFmtId="0" fontId="7" fillId="0" borderId="0" xfId="0" applyFont="1" applyBorder="1"/>
    <xf numFmtId="0" fontId="7" fillId="0" borderId="0" xfId="0" applyFont="1" applyBorder="1" applyAlignment="1">
      <alignment horizontal="center"/>
    </xf>
    <xf numFmtId="0" fontId="0" fillId="0" borderId="0" xfId="0" applyBorder="1"/>
    <xf numFmtId="49" fontId="14" fillId="3" borderId="57" xfId="0" applyNumberFormat="1" applyFont="1" applyFill="1" applyBorder="1" applyAlignment="1">
      <alignment horizontal="center"/>
    </xf>
    <xf numFmtId="0" fontId="0" fillId="3" borderId="0" xfId="0" applyFill="1"/>
    <xf numFmtId="167" fontId="0" fillId="3" borderId="0" xfId="0" applyNumberFormat="1" applyFill="1"/>
    <xf numFmtId="3" fontId="8" fillId="0" borderId="49" xfId="0" applyNumberFormat="1" applyFont="1" applyFill="1" applyBorder="1" applyAlignment="1"/>
    <xf numFmtId="49" fontId="8"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Border="1"/>
    <xf numFmtId="0" fontId="7" fillId="0" borderId="0" xfId="0" applyFont="1" applyFill="1" applyBorder="1" applyAlignment="1">
      <alignment horizontal="center"/>
    </xf>
    <xf numFmtId="44" fontId="8" fillId="0" borderId="0" xfId="0" applyNumberFormat="1" applyFont="1" applyFill="1" applyBorder="1" applyAlignment="1">
      <alignment horizontal="center"/>
    </xf>
    <xf numFmtId="2" fontId="0" fillId="0" borderId="0" xfId="0" applyNumberFormat="1" applyBorder="1"/>
    <xf numFmtId="3" fontId="8" fillId="0" borderId="0" xfId="0" applyNumberFormat="1" applyFont="1" applyBorder="1"/>
    <xf numFmtId="167" fontId="8" fillId="0" borderId="0" xfId="0" applyNumberFormat="1" applyFont="1" applyBorder="1"/>
    <xf numFmtId="4" fontId="7" fillId="0" borderId="0" xfId="0" applyNumberFormat="1" applyFont="1" applyAlignment="1"/>
    <xf numFmtId="44" fontId="7" fillId="0" borderId="0" xfId="0" applyNumberFormat="1" applyFont="1"/>
    <xf numFmtId="3" fontId="7" fillId="0" borderId="8" xfId="0" applyNumberFormat="1" applyFont="1" applyFill="1" applyBorder="1"/>
    <xf numFmtId="0" fontId="8" fillId="0" borderId="0" xfId="0" applyFont="1" applyAlignment="1">
      <alignment horizontal="center"/>
    </xf>
    <xf numFmtId="0" fontId="8" fillId="0" borderId="0" xfId="0" applyFont="1" applyBorder="1" applyAlignment="1">
      <alignment horizontal="center"/>
    </xf>
    <xf numFmtId="0" fontId="8" fillId="0" borderId="32" xfId="0" applyFont="1" applyFill="1" applyBorder="1" applyAlignment="1">
      <alignment horizontal="center"/>
    </xf>
    <xf numFmtId="3" fontId="7" fillId="0" borderId="36" xfId="0" applyNumberFormat="1" applyFont="1" applyFill="1" applyBorder="1"/>
    <xf numFmtId="3" fontId="7" fillId="0" borderId="37" xfId="0" applyNumberFormat="1" applyFont="1" applyFill="1" applyBorder="1"/>
    <xf numFmtId="0" fontId="7" fillId="0" borderId="31" xfId="0" applyFont="1" applyFill="1" applyBorder="1"/>
    <xf numFmtId="0" fontId="8" fillId="0" borderId="63" xfId="0" applyFont="1" applyFill="1" applyBorder="1" applyAlignment="1">
      <alignment horizontal="center"/>
    </xf>
    <xf numFmtId="3" fontId="7" fillId="0" borderId="34" xfId="0" applyNumberFormat="1" applyFont="1" applyFill="1" applyBorder="1"/>
    <xf numFmtId="3" fontId="7" fillId="0" borderId="38" xfId="0" applyNumberFormat="1" applyFont="1" applyFill="1" applyBorder="1"/>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12" xfId="0" applyFont="1" applyBorder="1" applyAlignment="1">
      <alignment horizontal="center" vertical="center" wrapText="1"/>
    </xf>
    <xf numFmtId="166" fontId="7" fillId="0" borderId="0" xfId="0" applyNumberFormat="1" applyFont="1"/>
    <xf numFmtId="167" fontId="7" fillId="0" borderId="6" xfId="0" applyNumberFormat="1" applyFont="1" applyBorder="1"/>
    <xf numFmtId="44" fontId="7" fillId="0" borderId="8" xfId="1" applyFont="1" applyBorder="1"/>
    <xf numFmtId="164" fontId="7" fillId="0" borderId="0" xfId="1" applyNumberFormat="1" applyFont="1" applyBorder="1"/>
    <xf numFmtId="167" fontId="7" fillId="0" borderId="9" xfId="0" applyNumberFormat="1" applyFont="1" applyBorder="1"/>
    <xf numFmtId="3" fontId="13" fillId="0" borderId="0" xfId="0" applyNumberFormat="1" applyFont="1" applyBorder="1" applyAlignment="1">
      <alignment horizontal="right" vertical="center" wrapText="1"/>
    </xf>
    <xf numFmtId="3" fontId="7" fillId="0" borderId="54" xfId="0" applyNumberFormat="1" applyFont="1" applyBorder="1"/>
    <xf numFmtId="4" fontId="7" fillId="0" borderId="3" xfId="0" applyNumberFormat="1" applyFont="1" applyBorder="1"/>
    <xf numFmtId="4" fontId="7" fillId="0" borderId="4" xfId="0" applyNumberFormat="1" applyFont="1" applyBorder="1"/>
    <xf numFmtId="44" fontId="7" fillId="0" borderId="4" xfId="1" applyFont="1" applyBorder="1"/>
    <xf numFmtId="44" fontId="8" fillId="0" borderId="0" xfId="1" applyFont="1" applyBorder="1"/>
    <xf numFmtId="170" fontId="8" fillId="0" borderId="0" xfId="0" applyNumberFormat="1" applyFont="1" applyBorder="1"/>
    <xf numFmtId="167" fontId="7" fillId="0" borderId="51" xfId="0" applyNumberFormat="1" applyFont="1" applyBorder="1" applyAlignment="1">
      <alignment horizontal="right"/>
    </xf>
    <xf numFmtId="167" fontId="7" fillId="0" borderId="51" xfId="0" applyNumberFormat="1" applyFont="1" applyBorder="1"/>
    <xf numFmtId="0" fontId="8" fillId="0" borderId="0" xfId="0" applyFont="1" applyAlignment="1">
      <alignment horizontal="center"/>
    </xf>
    <xf numFmtId="3" fontId="0" fillId="0" borderId="0" xfId="0" applyNumberFormat="1"/>
    <xf numFmtId="0" fontId="8" fillId="0" borderId="0" xfId="0" applyFont="1" applyAlignment="1">
      <alignment horizontal="center"/>
    </xf>
    <xf numFmtId="0" fontId="8" fillId="0" borderId="4" xfId="0" applyFont="1" applyBorder="1" applyAlignment="1">
      <alignment horizontal="center"/>
    </xf>
    <xf numFmtId="0" fontId="7" fillId="0" borderId="0" xfId="0" applyFont="1" applyAlignment="1">
      <alignment horizontal="center" vertical="center"/>
    </xf>
    <xf numFmtId="166" fontId="8" fillId="0" borderId="33" xfId="0" applyNumberFormat="1" applyFont="1" applyBorder="1" applyAlignment="1">
      <alignment horizontal="center"/>
    </xf>
    <xf numFmtId="166" fontId="8" fillId="0" borderId="68" xfId="0" applyNumberFormat="1" applyFont="1" applyBorder="1" applyAlignment="1">
      <alignment horizontal="center"/>
    </xf>
    <xf numFmtId="0" fontId="8" fillId="0" borderId="35" xfId="0" applyFont="1" applyBorder="1" applyAlignment="1">
      <alignment horizontal="center"/>
    </xf>
    <xf numFmtId="0" fontId="7" fillId="0" borderId="55" xfId="0" applyFont="1" applyBorder="1" applyAlignment="1">
      <alignment horizontal="center" vertical="center"/>
    </xf>
    <xf numFmtId="44" fontId="7" fillId="0" borderId="14" xfId="1" applyFont="1" applyBorder="1"/>
    <xf numFmtId="166" fontId="7" fillId="0" borderId="14" xfId="0" applyNumberFormat="1" applyFont="1" applyBorder="1"/>
    <xf numFmtId="3" fontId="22" fillId="0" borderId="14" xfId="0" applyNumberFormat="1" applyFont="1" applyBorder="1" applyAlignment="1">
      <alignment horizontal="right" vertical="center" wrapText="1"/>
    </xf>
    <xf numFmtId="0" fontId="0" fillId="0" borderId="58" xfId="0" applyBorder="1"/>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7" fillId="0" borderId="57" xfId="0" applyFont="1" applyBorder="1" applyAlignment="1">
      <alignment horizontal="center" vertical="center"/>
    </xf>
    <xf numFmtId="166" fontId="7" fillId="0" borderId="23" xfId="0" applyNumberFormat="1" applyFont="1" applyFill="1" applyBorder="1" applyAlignment="1">
      <alignment horizontal="center"/>
    </xf>
    <xf numFmtId="166" fontId="7" fillId="0" borderId="0" xfId="0" applyNumberFormat="1" applyFont="1" applyFill="1" applyBorder="1" applyAlignment="1">
      <alignment horizontal="center"/>
    </xf>
    <xf numFmtId="0" fontId="0" fillId="0" borderId="30" xfId="0" applyFill="1" applyBorder="1"/>
    <xf numFmtId="4" fontId="7" fillId="0" borderId="30" xfId="0" applyNumberFormat="1" applyFont="1" applyFill="1" applyBorder="1" applyAlignment="1">
      <alignment horizontal="right"/>
    </xf>
    <xf numFmtId="0" fontId="7" fillId="0" borderId="0" xfId="0" applyFont="1" applyFill="1" applyBorder="1" applyAlignment="1">
      <alignment horizontal="left"/>
    </xf>
    <xf numFmtId="0" fontId="7" fillId="0" borderId="0" xfId="0" applyFont="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59" xfId="0" applyFont="1" applyBorder="1" applyAlignment="1">
      <alignment horizontal="center" vertical="center"/>
    </xf>
    <xf numFmtId="4" fontId="17" fillId="0" borderId="0" xfId="0" applyNumberFormat="1" applyFont="1" applyFill="1" applyBorder="1" applyAlignment="1">
      <alignment horizontal="right"/>
    </xf>
    <xf numFmtId="4" fontId="20" fillId="0" borderId="0" xfId="0" applyNumberFormat="1" applyFont="1" applyBorder="1"/>
    <xf numFmtId="0" fontId="8" fillId="0" borderId="2" xfId="0" applyFont="1" applyBorder="1" applyAlignment="1">
      <alignment horizontal="center"/>
    </xf>
    <xf numFmtId="0" fontId="8" fillId="4" borderId="4" xfId="0" applyFont="1" applyFill="1" applyBorder="1" applyAlignment="1">
      <alignment horizontal="center"/>
    </xf>
    <xf numFmtId="3" fontId="23" fillId="0" borderId="4" xfId="0" applyNumberFormat="1" applyFont="1" applyBorder="1"/>
    <xf numFmtId="3" fontId="8" fillId="0" borderId="4" xfId="0" applyNumberFormat="1" applyFont="1" applyBorder="1"/>
    <xf numFmtId="169" fontId="8" fillId="0" borderId="4" xfId="0" applyNumberFormat="1" applyFont="1" applyBorder="1"/>
    <xf numFmtId="167" fontId="7" fillId="0" borderId="0" xfId="0" applyNumberFormat="1" applyFont="1" applyAlignment="1">
      <alignment horizontal="center"/>
    </xf>
    <xf numFmtId="3" fontId="8" fillId="4" borderId="4" xfId="0" applyNumberFormat="1" applyFont="1" applyFill="1" applyBorder="1"/>
    <xf numFmtId="4" fontId="7" fillId="0" borderId="0" xfId="0" applyNumberFormat="1"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vertical="center"/>
    </xf>
    <xf numFmtId="3" fontId="5" fillId="0" borderId="53" xfId="0" applyNumberFormat="1" applyFont="1" applyFill="1" applyBorder="1"/>
    <xf numFmtId="166" fontId="5" fillId="0" borderId="51" xfId="0" applyNumberFormat="1" applyFont="1" applyFill="1" applyBorder="1"/>
    <xf numFmtId="169" fontId="5" fillId="0" borderId="51" xfId="0" applyNumberFormat="1" applyFont="1" applyFill="1" applyBorder="1"/>
    <xf numFmtId="165" fontId="5" fillId="0" borderId="54" xfId="0" applyNumberFormat="1" applyFont="1" applyFill="1" applyBorder="1" applyAlignment="1">
      <alignment horizontal="right"/>
    </xf>
    <xf numFmtId="165" fontId="5" fillId="0" borderId="53" xfId="0" applyNumberFormat="1" applyFont="1" applyFill="1" applyBorder="1" applyAlignment="1">
      <alignment horizontal="right"/>
    </xf>
    <xf numFmtId="165" fontId="5" fillId="0" borderId="51" xfId="0" applyNumberFormat="1" applyFont="1" applyFill="1" applyBorder="1" applyAlignment="1">
      <alignment horizontal="right"/>
    </xf>
    <xf numFmtId="167" fontId="5" fillId="0" borderId="51" xfId="0" applyNumberFormat="1" applyFont="1" applyFill="1" applyBorder="1"/>
    <xf numFmtId="3" fontId="5" fillId="0" borderId="54" xfId="0" applyNumberFormat="1" applyFont="1" applyFill="1" applyBorder="1"/>
    <xf numFmtId="165" fontId="5" fillId="0" borderId="53" xfId="0" applyNumberFormat="1" applyFont="1" applyFill="1" applyBorder="1"/>
    <xf numFmtId="0" fontId="8" fillId="0" borderId="9" xfId="0" applyFont="1" applyBorder="1" applyAlignment="1">
      <alignment horizontal="center"/>
    </xf>
    <xf numFmtId="166" fontId="7" fillId="0" borderId="6" xfId="0" applyNumberFormat="1" applyFont="1" applyBorder="1"/>
    <xf numFmtId="165" fontId="7" fillId="0" borderId="0" xfId="1" applyNumberFormat="1" applyFont="1" applyBorder="1"/>
    <xf numFmtId="44" fontId="8" fillId="0" borderId="4" xfId="1" applyFont="1" applyBorder="1"/>
    <xf numFmtId="0" fontId="0" fillId="0" borderId="0" xfId="0"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xf>
    <xf numFmtId="4" fontId="7" fillId="0" borderId="69" xfId="0" applyNumberFormat="1" applyFont="1" applyBorder="1" applyAlignment="1">
      <alignment horizontal="center"/>
    </xf>
    <xf numFmtId="170" fontId="0" fillId="0" borderId="0" xfId="0" applyNumberFormat="1"/>
    <xf numFmtId="170" fontId="24" fillId="0" borderId="0" xfId="0" applyNumberFormat="1" applyFont="1"/>
    <xf numFmtId="4" fontId="7" fillId="0" borderId="0" xfId="0" applyNumberFormat="1" applyFont="1" applyBorder="1" applyAlignment="1">
      <alignment horizontal="center"/>
    </xf>
    <xf numFmtId="168" fontId="8" fillId="0" borderId="2" xfId="1" applyNumberFormat="1" applyFont="1" applyBorder="1"/>
    <xf numFmtId="171" fontId="8" fillId="0" borderId="3" xfId="1" applyNumberFormat="1" applyFont="1" applyBorder="1"/>
    <xf numFmtId="4" fontId="8" fillId="0" borderId="4" xfId="0" applyNumberFormat="1" applyFont="1" applyBorder="1" applyAlignment="1">
      <alignment horizontal="center"/>
    </xf>
    <xf numFmtId="167" fontId="8" fillId="0" borderId="4" xfId="0" applyNumberFormat="1" applyFont="1" applyBorder="1" applyAlignment="1">
      <alignment horizontal="center"/>
    </xf>
    <xf numFmtId="3" fontId="8" fillId="0" borderId="4" xfId="0" applyNumberFormat="1" applyFont="1" applyBorder="1" applyAlignment="1">
      <alignment horizontal="right"/>
    </xf>
    <xf numFmtId="3" fontId="7" fillId="5" borderId="4" xfId="0" applyNumberFormat="1" applyFont="1" applyFill="1" applyBorder="1"/>
    <xf numFmtId="3" fontId="8" fillId="5" borderId="4" xfId="0" applyNumberFormat="1" applyFont="1" applyFill="1" applyBorder="1"/>
    <xf numFmtId="0" fontId="0" fillId="5" borderId="0" xfId="0" applyFill="1"/>
    <xf numFmtId="0" fontId="8" fillId="0" borderId="72" xfId="0" applyFont="1" applyBorder="1" applyAlignment="1">
      <alignment horizontal="center"/>
    </xf>
    <xf numFmtId="0" fontId="8" fillId="2" borderId="72" xfId="0" applyFont="1" applyFill="1" applyBorder="1" applyAlignment="1">
      <alignment horizontal="center"/>
    </xf>
    <xf numFmtId="0" fontId="8" fillId="2" borderId="58" xfId="0" applyFont="1" applyFill="1" applyBorder="1" applyAlignment="1">
      <alignment horizontal="center"/>
    </xf>
    <xf numFmtId="0" fontId="8" fillId="2" borderId="9" xfId="0" applyFont="1" applyFill="1" applyBorder="1" applyAlignment="1">
      <alignment horizontal="center"/>
    </xf>
    <xf numFmtId="0" fontId="8" fillId="2" borderId="30" xfId="0" applyFont="1" applyFill="1" applyBorder="1" applyAlignment="1">
      <alignment horizontal="center"/>
    </xf>
    <xf numFmtId="170" fontId="7" fillId="0" borderId="0" xfId="0" applyNumberFormat="1" applyFont="1"/>
    <xf numFmtId="49" fontId="8" fillId="0" borderId="4" xfId="0" applyNumberFormat="1" applyFont="1" applyBorder="1" applyAlignment="1">
      <alignment horizontal="center"/>
    </xf>
    <xf numFmtId="49" fontId="8" fillId="0" borderId="12" xfId="0" applyNumberFormat="1" applyFont="1" applyBorder="1" applyAlignment="1">
      <alignment horizontal="center"/>
    </xf>
    <xf numFmtId="49" fontId="8" fillId="2" borderId="12" xfId="0" applyNumberFormat="1" applyFont="1" applyFill="1" applyBorder="1" applyAlignment="1">
      <alignment horizontal="center"/>
    </xf>
    <xf numFmtId="0" fontId="8" fillId="2" borderId="12" xfId="0" applyFont="1" applyFill="1" applyBorder="1" applyAlignment="1">
      <alignment horizontal="center"/>
    </xf>
    <xf numFmtId="0" fontId="8" fillId="2" borderId="78" xfId="0" applyFont="1" applyFill="1" applyBorder="1" applyAlignment="1">
      <alignment horizontal="center"/>
    </xf>
    <xf numFmtId="167" fontId="7" fillId="0" borderId="0" xfId="1" applyNumberFormat="1" applyFont="1" applyBorder="1"/>
    <xf numFmtId="4" fontId="7" fillId="2" borderId="0" xfId="0" applyNumberFormat="1" applyFont="1" applyFill="1" applyBorder="1"/>
    <xf numFmtId="3" fontId="7" fillId="2" borderId="0" xfId="0" applyNumberFormat="1" applyFont="1" applyFill="1" applyBorder="1"/>
    <xf numFmtId="166" fontId="7" fillId="2" borderId="0" xfId="0" applyNumberFormat="1" applyFont="1" applyFill="1" applyBorder="1"/>
    <xf numFmtId="3" fontId="7" fillId="2" borderId="27" xfId="0" applyNumberFormat="1" applyFont="1" applyFill="1" applyBorder="1"/>
    <xf numFmtId="170" fontId="26" fillId="0" borderId="0" xfId="0" applyNumberFormat="1" applyFont="1"/>
    <xf numFmtId="3" fontId="7" fillId="2" borderId="30" xfId="0" applyNumberFormat="1" applyFont="1" applyFill="1" applyBorder="1"/>
    <xf numFmtId="166" fontId="7" fillId="0" borderId="0" xfId="0" applyNumberFormat="1" applyFont="1" applyFill="1" applyBorder="1"/>
    <xf numFmtId="167" fontId="7" fillId="0" borderId="22" xfId="1" applyNumberFormat="1" applyFont="1" applyBorder="1"/>
    <xf numFmtId="165" fontId="7" fillId="0" borderId="22" xfId="1" applyNumberFormat="1" applyFont="1" applyBorder="1"/>
    <xf numFmtId="167" fontId="7" fillId="0" borderId="22" xfId="0" applyNumberFormat="1" applyFont="1" applyBorder="1"/>
    <xf numFmtId="3" fontId="7" fillId="0" borderId="22" xfId="0" applyNumberFormat="1" applyFont="1" applyBorder="1"/>
    <xf numFmtId="4" fontId="7" fillId="0" borderId="22" xfId="0" applyNumberFormat="1" applyFont="1" applyBorder="1"/>
    <xf numFmtId="166" fontId="7" fillId="0" borderId="22" xfId="0" applyNumberFormat="1" applyFont="1" applyBorder="1"/>
    <xf numFmtId="4" fontId="7" fillId="2" borderId="22" xfId="0" applyNumberFormat="1" applyFont="1" applyFill="1" applyBorder="1"/>
    <xf numFmtId="3" fontId="7" fillId="2" borderId="22" xfId="0" applyNumberFormat="1" applyFont="1" applyFill="1" applyBorder="1"/>
    <xf numFmtId="166" fontId="7" fillId="2" borderId="22" xfId="0" applyNumberFormat="1" applyFont="1" applyFill="1" applyBorder="1"/>
    <xf numFmtId="3" fontId="7" fillId="2" borderId="40" xfId="0" applyNumberFormat="1" applyFont="1" applyFill="1" applyBorder="1"/>
    <xf numFmtId="0" fontId="8" fillId="0" borderId="53" xfId="0" applyFont="1" applyBorder="1"/>
    <xf numFmtId="164" fontId="8" fillId="0" borderId="51" xfId="1" applyNumberFormat="1" applyFont="1" applyBorder="1"/>
    <xf numFmtId="165" fontId="8" fillId="0" borderId="51" xfId="1" applyNumberFormat="1" applyFont="1" applyBorder="1"/>
    <xf numFmtId="4" fontId="8" fillId="2" borderId="51" xfId="0" applyNumberFormat="1" applyFont="1" applyFill="1" applyBorder="1"/>
    <xf numFmtId="4" fontId="7" fillId="2" borderId="56" xfId="0" applyNumberFormat="1" applyFont="1" applyFill="1" applyBorder="1"/>
    <xf numFmtId="3" fontId="8" fillId="2" borderId="51" xfId="0" applyNumberFormat="1" applyFont="1" applyFill="1" applyBorder="1" applyAlignment="1">
      <alignment horizontal="right"/>
    </xf>
    <xf numFmtId="4" fontId="8" fillId="2" borderId="51" xfId="0" applyNumberFormat="1" applyFont="1" applyFill="1" applyBorder="1" applyAlignment="1">
      <alignment horizontal="right"/>
    </xf>
    <xf numFmtId="3" fontId="8" fillId="2" borderId="54" xfId="0" applyNumberFormat="1" applyFont="1" applyFill="1" applyBorder="1"/>
    <xf numFmtId="164" fontId="8" fillId="0" borderId="0" xfId="1" applyNumberFormat="1" applyFont="1" applyBorder="1" applyAlignment="1">
      <alignment horizontal="center"/>
    </xf>
    <xf numFmtId="7" fontId="7" fillId="0" borderId="0" xfId="0" applyNumberFormat="1" applyFont="1"/>
    <xf numFmtId="0" fontId="7" fillId="0" borderId="4" xfId="0" applyFont="1" applyBorder="1"/>
    <xf numFmtId="44" fontId="7" fillId="0" borderId="6" xfId="1" applyFont="1" applyBorder="1"/>
    <xf numFmtId="44" fontId="27" fillId="0" borderId="0" xfId="0" applyNumberFormat="1" applyFont="1"/>
    <xf numFmtId="44" fontId="7" fillId="0" borderId="0" xfId="1" applyFont="1" applyBorder="1"/>
    <xf numFmtId="44" fontId="26" fillId="0" borderId="0" xfId="0" applyNumberFormat="1" applyFont="1"/>
    <xf numFmtId="170" fontId="8" fillId="0" borderId="4" xfId="0" applyNumberFormat="1" applyFont="1" applyBorder="1"/>
    <xf numFmtId="44" fontId="8" fillId="0" borderId="4" xfId="0" applyNumberFormat="1" applyFont="1" applyBorder="1"/>
    <xf numFmtId="164" fontId="8" fillId="0" borderId="4" xfId="0" applyNumberFormat="1" applyFont="1" applyBorder="1"/>
    <xf numFmtId="164" fontId="8" fillId="0" borderId="0" xfId="0" applyNumberFormat="1" applyFont="1" applyBorder="1"/>
    <xf numFmtId="167" fontId="8" fillId="0" borderId="51" xfId="0" applyNumberFormat="1" applyFont="1" applyBorder="1"/>
    <xf numFmtId="172" fontId="8" fillId="0" borderId="51" xfId="0" applyNumberFormat="1" applyFont="1" applyBorder="1"/>
    <xf numFmtId="4" fontId="7" fillId="6" borderId="0" xfId="0" applyNumberFormat="1" applyFont="1" applyFill="1" applyBorder="1"/>
    <xf numFmtId="4" fontId="7" fillId="6" borderId="22" xfId="0" applyNumberFormat="1" applyFont="1" applyFill="1" applyBorder="1"/>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6" xfId="0" applyNumberFormat="1" applyFont="1" applyBorder="1" applyAlignment="1">
      <alignment horizontal="center"/>
    </xf>
    <xf numFmtId="165" fontId="0" fillId="0" borderId="0" xfId="0" applyNumberFormat="1" applyAlignment="1">
      <alignment horizontal="center"/>
    </xf>
    <xf numFmtId="49" fontId="16" fillId="0" borderId="59" xfId="0" applyNumberFormat="1" applyFont="1" applyFill="1" applyBorder="1" applyAlignment="1">
      <alignment horizontal="center" vertical="center" wrapText="1"/>
    </xf>
    <xf numFmtId="49" fontId="10" fillId="0" borderId="31" xfId="0" applyNumberFormat="1" applyFont="1" applyBorder="1" applyAlignment="1">
      <alignment horizontal="center"/>
    </xf>
    <xf numFmtId="164" fontId="6" fillId="0" borderId="24" xfId="1" applyNumberFormat="1" applyFont="1" applyFill="1" applyBorder="1" applyAlignment="1">
      <alignment horizontal="center"/>
    </xf>
    <xf numFmtId="165" fontId="6" fillId="0" borderId="29" xfId="1" applyNumberFormat="1" applyFont="1" applyFill="1" applyBorder="1"/>
    <xf numFmtId="3" fontId="6" fillId="0" borderId="24" xfId="0" applyNumberFormat="1" applyFont="1" applyFill="1" applyBorder="1"/>
    <xf numFmtId="166" fontId="6" fillId="0" borderId="5" xfId="0" applyNumberFormat="1" applyFont="1" applyFill="1" applyBorder="1"/>
    <xf numFmtId="167" fontId="6" fillId="0" borderId="5" xfId="0" applyNumberFormat="1" applyFont="1" applyFill="1" applyBorder="1"/>
    <xf numFmtId="165" fontId="6" fillId="0" borderId="29" xfId="0" applyNumberFormat="1" applyFont="1" applyFill="1" applyBorder="1" applyAlignment="1">
      <alignment horizontal="right"/>
    </xf>
    <xf numFmtId="165" fontId="6" fillId="0" borderId="24" xfId="0" applyNumberFormat="1" applyFont="1" applyFill="1" applyBorder="1" applyAlignment="1">
      <alignment horizontal="right"/>
    </xf>
    <xf numFmtId="165" fontId="6" fillId="0" borderId="5" xfId="0" applyNumberFormat="1" applyFont="1" applyFill="1" applyBorder="1" applyAlignment="1">
      <alignment horizontal="right"/>
    </xf>
    <xf numFmtId="3" fontId="6" fillId="0" borderId="29" xfId="0" applyNumberFormat="1" applyFont="1" applyFill="1" applyBorder="1"/>
    <xf numFmtId="165" fontId="6" fillId="0" borderId="7" xfId="0" applyNumberFormat="1" applyFont="1" applyFill="1" applyBorder="1"/>
    <xf numFmtId="3" fontId="6" fillId="0" borderId="69" xfId="0" applyNumberFormat="1" applyFont="1" applyFill="1" applyBorder="1"/>
    <xf numFmtId="165" fontId="6" fillId="0" borderId="48" xfId="0" applyNumberFormat="1" applyFont="1" applyFill="1" applyBorder="1"/>
    <xf numFmtId="165" fontId="5" fillId="0" borderId="49" xfId="0" applyNumberFormat="1" applyFont="1" applyFill="1" applyBorder="1"/>
    <xf numFmtId="167" fontId="8" fillId="0" borderId="51" xfId="0" applyNumberFormat="1" applyFont="1" applyFill="1" applyBorder="1"/>
    <xf numFmtId="3" fontId="8" fillId="0" borderId="52" xfId="0" applyNumberFormat="1" applyFont="1" applyFill="1" applyBorder="1"/>
    <xf numFmtId="3" fontId="8" fillId="0" borderId="54" xfId="0" applyNumberFormat="1" applyFont="1" applyFill="1" applyBorder="1"/>
    <xf numFmtId="0" fontId="8" fillId="0" borderId="11" xfId="0" applyFont="1" applyBorder="1" applyAlignment="1"/>
    <xf numFmtId="0" fontId="28" fillId="0" borderId="0" xfId="2"/>
    <xf numFmtId="0" fontId="32" fillId="0" borderId="49" xfId="2" applyFont="1" applyFill="1" applyBorder="1" applyAlignment="1">
      <alignment horizontal="center" vertical="center" wrapText="1"/>
    </xf>
    <xf numFmtId="0" fontId="32" fillId="0" borderId="56" xfId="2" applyFont="1" applyFill="1" applyBorder="1" applyAlignment="1">
      <alignment horizontal="center" vertical="center" wrapText="1"/>
    </xf>
    <xf numFmtId="0" fontId="32" fillId="0" borderId="21" xfId="2" applyFont="1" applyFill="1" applyBorder="1" applyAlignment="1">
      <alignment horizontal="center" vertical="center" wrapText="1"/>
    </xf>
    <xf numFmtId="0" fontId="32" fillId="0" borderId="57" xfId="2" applyFont="1" applyBorder="1"/>
    <xf numFmtId="10" fontId="32" fillId="0" borderId="55" xfId="2" applyNumberFormat="1" applyFont="1" applyBorder="1" applyAlignment="1">
      <alignment horizontal="right"/>
    </xf>
    <xf numFmtId="3" fontId="32" fillId="0" borderId="57" xfId="2" applyNumberFormat="1" applyFont="1" applyBorder="1"/>
    <xf numFmtId="3" fontId="32" fillId="0" borderId="0" xfId="2" applyNumberFormat="1" applyFont="1" applyBorder="1"/>
    <xf numFmtId="3" fontId="32" fillId="0" borderId="55" xfId="2" applyNumberFormat="1" applyFont="1" applyBorder="1"/>
    <xf numFmtId="3" fontId="32" fillId="0" borderId="30" xfId="2" applyNumberFormat="1" applyFont="1" applyBorder="1"/>
    <xf numFmtId="10" fontId="32" fillId="0" borderId="57" xfId="2" applyNumberFormat="1" applyFont="1" applyBorder="1" applyAlignment="1">
      <alignment horizontal="right"/>
    </xf>
    <xf numFmtId="10" fontId="32" fillId="0" borderId="59" xfId="2" applyNumberFormat="1" applyFont="1" applyBorder="1" applyAlignment="1">
      <alignment horizontal="right"/>
    </xf>
    <xf numFmtId="3" fontId="32" fillId="0" borderId="59" xfId="2" applyNumberFormat="1" applyFont="1" applyBorder="1"/>
    <xf numFmtId="0" fontId="32" fillId="0" borderId="49" xfId="2" applyFont="1" applyBorder="1"/>
    <xf numFmtId="10" fontId="32" fillId="0" borderId="49" xfId="2" applyNumberFormat="1" applyFont="1" applyBorder="1" applyAlignment="1">
      <alignment horizontal="right"/>
    </xf>
    <xf numFmtId="3" fontId="33" fillId="0" borderId="49" xfId="2" applyNumberFormat="1" applyFont="1" applyBorder="1"/>
    <xf numFmtId="0" fontId="7" fillId="0" borderId="70" xfId="0" applyFont="1" applyBorder="1"/>
    <xf numFmtId="164" fontId="7" fillId="0" borderId="71" xfId="1" applyNumberFormat="1" applyFont="1" applyBorder="1" applyAlignment="1">
      <alignment horizontal="center"/>
    </xf>
    <xf numFmtId="165" fontId="7" fillId="0" borderId="8" xfId="1" applyNumberFormat="1" applyFont="1" applyBorder="1"/>
    <xf numFmtId="167" fontId="7" fillId="0" borderId="71" xfId="0" applyNumberFormat="1" applyFont="1" applyBorder="1"/>
    <xf numFmtId="3" fontId="7" fillId="0" borderId="8" xfId="0" applyNumberFormat="1" applyFont="1" applyFill="1" applyBorder="1" applyAlignment="1">
      <alignment horizontal="right"/>
    </xf>
    <xf numFmtId="0" fontId="7" fillId="0" borderId="28" xfId="0" applyFont="1" applyBorder="1"/>
    <xf numFmtId="164" fontId="7" fillId="0" borderId="8" xfId="1" applyNumberFormat="1" applyFont="1" applyBorder="1" applyAlignment="1">
      <alignment horizontal="center"/>
    </xf>
    <xf numFmtId="167" fontId="7" fillId="0" borderId="8" xfId="0" applyNumberFormat="1" applyFont="1" applyBorder="1"/>
    <xf numFmtId="0" fontId="7" fillId="0" borderId="34" xfId="0" applyFont="1" applyBorder="1"/>
    <xf numFmtId="164" fontId="7" fillId="0" borderId="36" xfId="1" applyNumberFormat="1" applyFont="1" applyBorder="1" applyAlignment="1">
      <alignment horizontal="center"/>
    </xf>
    <xf numFmtId="165" fontId="7" fillId="0" borderId="36" xfId="1" applyNumberFormat="1" applyFont="1" applyBorder="1"/>
    <xf numFmtId="167" fontId="7" fillId="0" borderId="36" xfId="0" applyNumberFormat="1" applyFont="1" applyBorder="1"/>
    <xf numFmtId="164" fontId="8" fillId="0" borderId="51" xfId="1" applyNumberFormat="1" applyFont="1" applyBorder="1" applyAlignment="1">
      <alignment horizontal="center"/>
    </xf>
    <xf numFmtId="3" fontId="8" fillId="0" borderId="51" xfId="0" applyNumberFormat="1" applyFont="1" applyFill="1" applyBorder="1" applyAlignment="1">
      <alignment horizontal="right"/>
    </xf>
    <xf numFmtId="165" fontId="8" fillId="0" borderId="54" xfId="0" applyNumberFormat="1" applyFont="1" applyFill="1" applyBorder="1" applyAlignment="1">
      <alignment horizontal="right"/>
    </xf>
    <xf numFmtId="0" fontId="8" fillId="0" borderId="8" xfId="0" applyFont="1" applyFill="1" applyBorder="1" applyAlignment="1">
      <alignment horizontal="center"/>
    </xf>
    <xf numFmtId="49" fontId="8" fillId="0" borderId="8"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7" fillId="0" borderId="71" xfId="0" applyNumberFormat="1" applyFont="1" applyBorder="1"/>
    <xf numFmtId="167" fontId="7" fillId="0" borderId="71" xfId="0" applyNumberFormat="1" applyFont="1" applyBorder="1" applyAlignment="1">
      <alignment horizontal="right"/>
    </xf>
    <xf numFmtId="3" fontId="7" fillId="0" borderId="8" xfId="0" applyNumberFormat="1" applyFont="1" applyBorder="1" applyAlignment="1">
      <alignment horizontal="right"/>
    </xf>
    <xf numFmtId="3" fontId="7" fillId="0" borderId="29" xfId="0" applyNumberFormat="1" applyFont="1" applyBorder="1" applyAlignment="1">
      <alignment horizontal="right"/>
    </xf>
    <xf numFmtId="3" fontId="7" fillId="0" borderId="8" xfId="0" applyNumberFormat="1" applyFont="1" applyBorder="1"/>
    <xf numFmtId="167" fontId="7" fillId="0" borderId="8" xfId="0" applyNumberFormat="1" applyFont="1" applyBorder="1" applyAlignment="1">
      <alignment horizontal="right"/>
    </xf>
    <xf numFmtId="167" fontId="7" fillId="0" borderId="36" xfId="0" applyNumberFormat="1" applyFont="1" applyBorder="1" applyAlignment="1">
      <alignment horizontal="right"/>
    </xf>
    <xf numFmtId="3" fontId="8" fillId="0" borderId="36" xfId="0" applyNumberFormat="1" applyFont="1" applyBorder="1"/>
    <xf numFmtId="168" fontId="8" fillId="0" borderId="36" xfId="1" applyNumberFormat="1" applyFont="1" applyBorder="1"/>
    <xf numFmtId="3" fontId="8" fillId="0" borderId="54" xfId="0" applyNumberFormat="1" applyFont="1" applyBorder="1" applyAlignment="1">
      <alignment horizontal="right"/>
    </xf>
    <xf numFmtId="49" fontId="14" fillId="0" borderId="36" xfId="0" applyNumberFormat="1" applyFont="1" applyFill="1" applyBorder="1" applyAlignment="1">
      <alignment horizontal="center"/>
    </xf>
    <xf numFmtId="0" fontId="14" fillId="0" borderId="36" xfId="0" applyFont="1" applyFill="1" applyBorder="1" applyAlignment="1">
      <alignment horizontal="center"/>
    </xf>
    <xf numFmtId="49" fontId="14" fillId="0" borderId="37" xfId="0" applyNumberFormat="1" applyFont="1" applyFill="1" applyBorder="1" applyAlignment="1">
      <alignment horizontal="center"/>
    </xf>
    <xf numFmtId="0" fontId="7" fillId="0" borderId="70" xfId="0" applyFont="1" applyFill="1" applyBorder="1"/>
    <xf numFmtId="164" fontId="7" fillId="0" borderId="8" xfId="1" applyNumberFormat="1" applyFont="1" applyFill="1" applyBorder="1" applyAlignment="1">
      <alignment horizontal="right"/>
    </xf>
    <xf numFmtId="165" fontId="7" fillId="0" borderId="8" xfId="1" applyNumberFormat="1" applyFont="1" applyFill="1" applyBorder="1"/>
    <xf numFmtId="166" fontId="7" fillId="0" borderId="8" xfId="0" applyNumberFormat="1" applyFont="1" applyFill="1" applyBorder="1"/>
    <xf numFmtId="167" fontId="7" fillId="0" borderId="8" xfId="0" applyNumberFormat="1" applyFont="1" applyFill="1" applyBorder="1"/>
    <xf numFmtId="3" fontId="7" fillId="0" borderId="8" xfId="0" applyNumberFormat="1" applyFont="1" applyFill="1" applyBorder="1" applyAlignment="1"/>
    <xf numFmtId="3" fontId="7" fillId="0" borderId="29" xfId="0" applyNumberFormat="1" applyFont="1" applyFill="1" applyBorder="1" applyAlignment="1"/>
    <xf numFmtId="0" fontId="7" fillId="0" borderId="28" xfId="0" applyFont="1" applyFill="1" applyBorder="1"/>
    <xf numFmtId="164" fontId="7" fillId="0" borderId="36" xfId="1" applyNumberFormat="1" applyFont="1" applyFill="1" applyBorder="1" applyAlignment="1">
      <alignment horizontal="right"/>
    </xf>
    <xf numFmtId="165" fontId="7" fillId="0" borderId="36" xfId="1" applyNumberFormat="1" applyFont="1" applyFill="1" applyBorder="1"/>
    <xf numFmtId="166" fontId="7" fillId="0" borderId="36" xfId="0" applyNumberFormat="1" applyFont="1" applyFill="1" applyBorder="1"/>
    <xf numFmtId="167" fontId="7" fillId="0" borderId="36" xfId="0" applyNumberFormat="1" applyFont="1" applyFill="1" applyBorder="1"/>
    <xf numFmtId="3" fontId="7" fillId="0" borderId="36" xfId="0" applyNumberFormat="1" applyFont="1" applyFill="1" applyBorder="1" applyAlignment="1"/>
    <xf numFmtId="3" fontId="7" fillId="0" borderId="37" xfId="0" applyNumberFormat="1" applyFont="1" applyFill="1" applyBorder="1" applyAlignment="1"/>
    <xf numFmtId="0" fontId="7" fillId="0" borderId="53" xfId="0" applyFont="1" applyFill="1" applyBorder="1"/>
    <xf numFmtId="164" fontId="8" fillId="0" borderId="51" xfId="1" applyNumberFormat="1" applyFont="1" applyFill="1" applyBorder="1" applyAlignment="1">
      <alignment horizontal="center"/>
    </xf>
    <xf numFmtId="165" fontId="8" fillId="0" borderId="51" xfId="1" applyNumberFormat="1" applyFont="1" applyFill="1" applyBorder="1"/>
    <xf numFmtId="4" fontId="8" fillId="0" borderId="36" xfId="0" applyNumberFormat="1" applyFont="1" applyFill="1" applyBorder="1"/>
    <xf numFmtId="166" fontId="8" fillId="0" borderId="36" xfId="0" applyNumberFormat="1" applyFont="1" applyFill="1" applyBorder="1"/>
    <xf numFmtId="3" fontId="8" fillId="0" borderId="51" xfId="0" applyNumberFormat="1" applyFont="1" applyFill="1" applyBorder="1" applyAlignment="1"/>
    <xf numFmtId="3" fontId="8" fillId="0" borderId="54" xfId="0" applyNumberFormat="1" applyFont="1" applyFill="1" applyBorder="1" applyAlignment="1"/>
    <xf numFmtId="0" fontId="8" fillId="0" borderId="71" xfId="0" applyFont="1" applyBorder="1" applyAlignment="1">
      <alignment horizontal="center" vertical="center" wrapText="1"/>
    </xf>
    <xf numFmtId="9" fontId="8" fillId="0" borderId="8" xfId="0" applyNumberFormat="1" applyFont="1" applyBorder="1" applyAlignment="1">
      <alignment horizontal="center" vertical="center" wrapText="1"/>
    </xf>
    <xf numFmtId="166" fontId="7" fillId="0" borderId="8" xfId="0" applyNumberFormat="1" applyFont="1" applyBorder="1"/>
    <xf numFmtId="3" fontId="7" fillId="0" borderId="29" xfId="0" applyNumberFormat="1" applyFont="1" applyBorder="1"/>
    <xf numFmtId="3" fontId="7" fillId="0" borderId="13" xfId="0" applyNumberFormat="1" applyFont="1" applyFill="1" applyBorder="1"/>
    <xf numFmtId="3" fontId="7" fillId="0" borderId="70" xfId="0" applyNumberFormat="1" applyFont="1" applyFill="1" applyBorder="1"/>
    <xf numFmtId="3" fontId="7" fillId="0" borderId="71" xfId="0" applyNumberFormat="1" applyFont="1" applyFill="1" applyBorder="1"/>
    <xf numFmtId="3" fontId="7" fillId="0" borderId="66" xfId="0" applyNumberFormat="1" applyFont="1" applyFill="1" applyBorder="1"/>
    <xf numFmtId="3" fontId="7" fillId="0" borderId="72" xfId="0" applyNumberFormat="1" applyFont="1" applyFill="1" applyBorder="1"/>
    <xf numFmtId="3" fontId="7" fillId="0" borderId="23" xfId="0" applyNumberFormat="1" applyFont="1" applyFill="1" applyBorder="1"/>
    <xf numFmtId="3" fontId="7" fillId="0" borderId="28" xfId="0" applyNumberFormat="1" applyFont="1" applyFill="1" applyBorder="1"/>
    <xf numFmtId="3" fontId="7" fillId="0" borderId="29" xfId="0" applyNumberFormat="1" applyFont="1" applyFill="1" applyBorder="1"/>
    <xf numFmtId="3" fontId="7" fillId="0" borderId="9" xfId="0" applyNumberFormat="1" applyFont="1" applyFill="1" applyBorder="1"/>
    <xf numFmtId="3" fontId="7" fillId="0" borderId="31" xfId="0" applyNumberFormat="1" applyFont="1" applyFill="1" applyBorder="1"/>
    <xf numFmtId="0" fontId="8" fillId="0" borderId="64" xfId="0" applyFont="1" applyFill="1" applyBorder="1" applyAlignment="1">
      <alignment horizontal="center"/>
    </xf>
    <xf numFmtId="3" fontId="7" fillId="0" borderId="66" xfId="0" applyNumberFormat="1" applyFont="1" applyBorder="1"/>
    <xf numFmtId="3" fontId="13" fillId="0" borderId="29" xfId="0" applyNumberFormat="1" applyFont="1" applyBorder="1" applyAlignment="1">
      <alignment horizontal="right" vertical="center" wrapText="1"/>
    </xf>
    <xf numFmtId="3" fontId="8" fillId="0" borderId="54" xfId="0" applyNumberFormat="1" applyFont="1" applyBorder="1"/>
    <xf numFmtId="0" fontId="7" fillId="0" borderId="20" xfId="0" applyFont="1" applyBorder="1"/>
    <xf numFmtId="9" fontId="8" fillId="0" borderId="28" xfId="0" applyNumberFormat="1" applyFont="1" applyBorder="1" applyAlignment="1">
      <alignment horizontal="center" vertical="center" wrapText="1"/>
    </xf>
    <xf numFmtId="166" fontId="7" fillId="0" borderId="28" xfId="0" applyNumberFormat="1" applyFont="1" applyBorder="1"/>
    <xf numFmtId="167" fontId="7" fillId="0" borderId="53" xfId="0" applyNumberFormat="1" applyFont="1" applyBorder="1" applyAlignment="1">
      <alignment horizontal="right"/>
    </xf>
    <xf numFmtId="49" fontId="8" fillId="0" borderId="64" xfId="0" applyNumberFormat="1" applyFont="1" applyFill="1" applyBorder="1" applyAlignment="1">
      <alignment horizontal="center"/>
    </xf>
    <xf numFmtId="0" fontId="8" fillId="0" borderId="44" xfId="0" applyFont="1" applyFill="1" applyBorder="1" applyAlignment="1">
      <alignment horizontal="center"/>
    </xf>
    <xf numFmtId="165" fontId="7" fillId="0" borderId="66" xfId="0" applyNumberFormat="1" applyFont="1" applyFill="1" applyBorder="1" applyAlignment="1">
      <alignment horizontal="right"/>
    </xf>
    <xf numFmtId="165" fontId="7" fillId="0" borderId="29" xfId="0" applyNumberFormat="1" applyFont="1" applyFill="1" applyBorder="1" applyAlignment="1">
      <alignment horizontal="right"/>
    </xf>
    <xf numFmtId="3" fontId="8" fillId="0" borderId="29" xfId="0" applyNumberFormat="1" applyFont="1" applyFill="1" applyBorder="1"/>
    <xf numFmtId="49" fontId="8" fillId="0" borderId="63" xfId="0" applyNumberFormat="1" applyFont="1" applyBorder="1" applyAlignment="1">
      <alignment horizontal="center"/>
    </xf>
    <xf numFmtId="49" fontId="8" fillId="0" borderId="64" xfId="0" applyNumberFormat="1" applyFont="1" applyBorder="1" applyAlignment="1">
      <alignment horizontal="center"/>
    </xf>
    <xf numFmtId="0" fontId="8" fillId="0" borderId="29" xfId="0" applyFont="1" applyFill="1" applyBorder="1" applyAlignment="1">
      <alignment horizontal="center"/>
    </xf>
    <xf numFmtId="49" fontId="8" fillId="0" borderId="43" xfId="0" applyNumberFormat="1" applyFont="1" applyBorder="1" applyAlignment="1">
      <alignment horizontal="center"/>
    </xf>
    <xf numFmtId="0" fontId="8" fillId="0" borderId="10" xfId="0" applyFont="1" applyBorder="1" applyAlignment="1">
      <alignment horizontal="center" vertical="center"/>
    </xf>
    <xf numFmtId="49" fontId="8" fillId="0" borderId="44" xfId="0" applyNumberFormat="1" applyFont="1" applyFill="1" applyBorder="1" applyAlignment="1">
      <alignment horizontal="center"/>
    </xf>
    <xf numFmtId="0" fontId="8" fillId="0" borderId="29" xfId="0" applyFont="1" applyFill="1" applyBorder="1" applyAlignment="1">
      <alignment horizontal="center" wrapText="1"/>
    </xf>
    <xf numFmtId="49" fontId="8" fillId="0" borderId="42" xfId="0" applyNumberFormat="1" applyFont="1" applyBorder="1" applyAlignment="1">
      <alignment horizontal="center"/>
    </xf>
    <xf numFmtId="0" fontId="8" fillId="0" borderId="5" xfId="0" applyFont="1" applyFill="1" applyBorder="1" applyAlignment="1">
      <alignment horizontal="center" vertical="center"/>
    </xf>
    <xf numFmtId="49" fontId="8" fillId="0" borderId="10" xfId="0" applyNumberFormat="1" applyFont="1" applyFill="1" applyBorder="1" applyAlignment="1">
      <alignment horizontal="center"/>
    </xf>
    <xf numFmtId="49" fontId="8" fillId="0" borderId="62" xfId="0" applyNumberFormat="1" applyFont="1" applyFill="1" applyBorder="1" applyAlignment="1">
      <alignment horizontal="center"/>
    </xf>
    <xf numFmtId="0" fontId="8" fillId="0" borderId="25" xfId="0" applyFont="1" applyFill="1" applyBorder="1" applyAlignment="1">
      <alignment horizontal="center" vertical="center"/>
    </xf>
    <xf numFmtId="49" fontId="8" fillId="0" borderId="46" xfId="0" applyNumberFormat="1" applyFont="1" applyBorder="1" applyAlignment="1">
      <alignment horizontal="center"/>
    </xf>
    <xf numFmtId="49" fontId="8" fillId="0" borderId="47" xfId="0" applyNumberFormat="1" applyFont="1" applyFill="1" applyBorder="1" applyAlignment="1">
      <alignment horizontal="center"/>
    </xf>
    <xf numFmtId="167" fontId="7" fillId="0" borderId="71" xfId="0" applyNumberFormat="1" applyFont="1" applyFill="1" applyBorder="1"/>
    <xf numFmtId="4" fontId="7" fillId="0" borderId="66" xfId="0" applyNumberFormat="1" applyFont="1" applyFill="1" applyBorder="1"/>
    <xf numFmtId="4" fontId="7" fillId="0" borderId="29" xfId="0" applyNumberFormat="1" applyFont="1" applyFill="1" applyBorder="1"/>
    <xf numFmtId="3" fontId="8" fillId="0" borderId="28" xfId="0" applyNumberFormat="1" applyFont="1" applyFill="1" applyBorder="1"/>
    <xf numFmtId="167" fontId="8" fillId="0" borderId="8" xfId="0" applyNumberFormat="1" applyFont="1" applyFill="1" applyBorder="1"/>
    <xf numFmtId="3" fontId="8" fillId="0" borderId="53" xfId="0" applyNumberFormat="1" applyFont="1" applyFill="1" applyBorder="1"/>
    <xf numFmtId="3" fontId="7" fillId="0" borderId="73" xfId="0" applyNumberFormat="1" applyFont="1" applyFill="1" applyBorder="1"/>
    <xf numFmtId="164" fontId="8" fillId="0" borderId="56" xfId="1" applyNumberFormat="1" applyFont="1" applyFill="1" applyBorder="1" applyAlignment="1">
      <alignment horizontal="center"/>
    </xf>
    <xf numFmtId="0" fontId="7" fillId="0" borderId="45" xfId="0" applyFont="1" applyBorder="1" applyAlignment="1">
      <alignment horizontal="center" vertical="center"/>
    </xf>
    <xf numFmtId="0" fontId="8"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1" xfId="0" applyFont="1" applyBorder="1" applyAlignment="1">
      <alignment horizontal="center" vertical="center"/>
    </xf>
    <xf numFmtId="0" fontId="10" fillId="0" borderId="24" xfId="0" applyFont="1" applyFill="1" applyBorder="1" applyAlignment="1">
      <alignment horizontal="center"/>
    </xf>
    <xf numFmtId="0" fontId="10" fillId="0" borderId="5" xfId="0" applyFont="1" applyFill="1" applyBorder="1" applyAlignment="1">
      <alignment horizontal="center"/>
    </xf>
    <xf numFmtId="0" fontId="10" fillId="0" borderId="28" xfId="0" applyFont="1" applyFill="1" applyBorder="1" applyAlignment="1">
      <alignment horizontal="center"/>
    </xf>
    <xf numFmtId="0" fontId="10" fillId="0" borderId="8" xfId="0" applyFont="1" applyFill="1" applyBorder="1" applyAlignment="1">
      <alignment horizontal="center"/>
    </xf>
    <xf numFmtId="9" fontId="10" fillId="0" borderId="8" xfId="0" applyNumberFormat="1" applyFont="1" applyFill="1" applyBorder="1" applyAlignment="1">
      <alignment horizontal="center"/>
    </xf>
    <xf numFmtId="49" fontId="10" fillId="0" borderId="34" xfId="0" applyNumberFormat="1" applyFont="1" applyFill="1" applyBorder="1" applyAlignment="1">
      <alignment horizontal="center"/>
    </xf>
    <xf numFmtId="49" fontId="10" fillId="0" borderId="36" xfId="0" applyNumberFormat="1" applyFont="1" applyFill="1" applyBorder="1" applyAlignment="1">
      <alignment horizontal="center"/>
    </xf>
    <xf numFmtId="49" fontId="10" fillId="0" borderId="37" xfId="0" applyNumberFormat="1" applyFont="1" applyFill="1" applyBorder="1" applyAlignment="1">
      <alignment horizontal="center"/>
    </xf>
    <xf numFmtId="4" fontId="10" fillId="0" borderId="8" xfId="0" applyNumberFormat="1" applyFont="1" applyFill="1" applyBorder="1" applyAlignment="1">
      <alignment horizontal="center" vertical="center" wrapText="1"/>
    </xf>
    <xf numFmtId="0" fontId="10" fillId="0" borderId="36" xfId="0" applyFont="1" applyFill="1" applyBorder="1" applyAlignment="1">
      <alignment horizontal="center"/>
    </xf>
    <xf numFmtId="49" fontId="16" fillId="0" borderId="36"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164" fontId="5" fillId="0" borderId="53" xfId="1" applyNumberFormat="1" applyFont="1" applyFill="1" applyBorder="1" applyAlignment="1">
      <alignment horizontal="center"/>
    </xf>
    <xf numFmtId="165" fontId="5" fillId="0" borderId="54" xfId="1" applyNumberFormat="1" applyFont="1" applyFill="1" applyBorder="1"/>
    <xf numFmtId="167" fontId="0" fillId="0" borderId="0" xfId="0" applyNumberFormat="1" applyFill="1" applyBorder="1"/>
    <xf numFmtId="0" fontId="34" fillId="0" borderId="0" xfId="0" applyFont="1" applyFill="1"/>
    <xf numFmtId="0" fontId="34" fillId="0" borderId="0" xfId="0" applyFont="1" applyFill="1" applyAlignment="1">
      <alignment horizontal="center"/>
    </xf>
    <xf numFmtId="4" fontId="34" fillId="0" borderId="0" xfId="0" applyNumberFormat="1" applyFont="1" applyFill="1" applyAlignment="1">
      <alignment horizontal="center"/>
    </xf>
    <xf numFmtId="0" fontId="19" fillId="0" borderId="0" xfId="0" applyFont="1" applyFill="1"/>
    <xf numFmtId="0" fontId="19" fillId="0" borderId="0" xfId="0" applyFont="1"/>
    <xf numFmtId="0" fontId="34" fillId="0" borderId="0" xfId="0" applyFont="1" applyBorder="1" applyAlignment="1">
      <alignment horizontal="center" vertical="center"/>
    </xf>
    <xf numFmtId="0" fontId="19" fillId="0" borderId="0" xfId="0" applyFont="1" applyAlignment="1"/>
    <xf numFmtId="0" fontId="18" fillId="0" borderId="0" xfId="0" applyFont="1"/>
    <xf numFmtId="0" fontId="18" fillId="0" borderId="0" xfId="0" applyFont="1" applyAlignment="1"/>
    <xf numFmtId="0" fontId="18" fillId="0" borderId="0" xfId="0" applyFont="1" applyFill="1"/>
    <xf numFmtId="0" fontId="36" fillId="0" borderId="0" xfId="0" applyFont="1" applyFill="1" applyAlignment="1"/>
    <xf numFmtId="0" fontId="18" fillId="0" borderId="0" xfId="0" applyFont="1" applyBorder="1" applyAlignment="1">
      <alignment vertical="center"/>
    </xf>
    <xf numFmtId="2" fontId="0" fillId="0" borderId="23" xfId="0" applyNumberFormat="1" applyBorder="1"/>
    <xf numFmtId="0" fontId="18" fillId="0" borderId="0" xfId="0" applyFont="1" applyAlignment="1">
      <alignment vertical="center" wrapText="1"/>
    </xf>
    <xf numFmtId="49" fontId="8" fillId="0" borderId="36" xfId="0" applyNumberFormat="1" applyFont="1" applyFill="1" applyBorder="1" applyAlignment="1">
      <alignment horizontal="center" vertical="justify"/>
    </xf>
    <xf numFmtId="49" fontId="8" fillId="0" borderId="37" xfId="0" applyNumberFormat="1" applyFont="1" applyFill="1" applyBorder="1" applyAlignment="1">
      <alignment horizontal="center" vertical="justify"/>
    </xf>
    <xf numFmtId="49" fontId="8" fillId="0" borderId="3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7" xfId="0" applyFont="1" applyBorder="1" applyAlignment="1">
      <alignment horizontal="center" vertical="center" wrapText="1"/>
    </xf>
    <xf numFmtId="49" fontId="8" fillId="0" borderId="37" xfId="0" applyNumberFormat="1" applyFont="1" applyBorder="1" applyAlignment="1">
      <alignment horizontal="center" vertical="center" wrapText="1"/>
    </xf>
    <xf numFmtId="0" fontId="40" fillId="0" borderId="0" xfId="2" applyFont="1" applyFill="1" applyBorder="1"/>
    <xf numFmtId="0" fontId="40" fillId="0" borderId="0" xfId="2" applyFont="1"/>
    <xf numFmtId="0" fontId="41" fillId="0" borderId="0" xfId="2" applyFont="1"/>
    <xf numFmtId="0" fontId="42" fillId="0" borderId="0" xfId="3" applyFont="1" applyFill="1" applyBorder="1"/>
    <xf numFmtId="0" fontId="42" fillId="0" borderId="0" xfId="3" applyFont="1"/>
    <xf numFmtId="0" fontId="42" fillId="0" borderId="0" xfId="2" applyFont="1" applyFill="1" applyBorder="1"/>
    <xf numFmtId="49" fontId="8" fillId="0" borderId="8" xfId="0" applyNumberFormat="1" applyFont="1" applyBorder="1" applyAlignment="1">
      <alignment horizontal="center" vertical="justify" wrapText="1"/>
    </xf>
    <xf numFmtId="10" fontId="0" fillId="0" borderId="0" xfId="0" applyNumberFormat="1"/>
    <xf numFmtId="3" fontId="7" fillId="0" borderId="4" xfId="0" applyNumberFormat="1" applyFont="1" applyFill="1" applyBorder="1"/>
    <xf numFmtId="0" fontId="7" fillId="0" borderId="0"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9" xfId="0" applyFont="1" applyFill="1" applyBorder="1" applyAlignment="1">
      <alignment horizontal="left"/>
    </xf>
    <xf numFmtId="4" fontId="7" fillId="0" borderId="30" xfId="0" applyNumberFormat="1"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1" xfId="0" applyNumberFormat="1" applyFont="1" applyFill="1" applyBorder="1" applyAlignment="1">
      <alignment horizontal="right"/>
    </xf>
    <xf numFmtId="4" fontId="7" fillId="0" borderId="69" xfId="0" applyNumberFormat="1" applyFont="1" applyFill="1" applyBorder="1" applyAlignment="1"/>
    <xf numFmtId="4" fontId="7" fillId="0" borderId="0" xfId="0" applyNumberFormat="1" applyFont="1" applyFill="1" applyBorder="1" applyAlignment="1"/>
    <xf numFmtId="4" fontId="8" fillId="0" borderId="69" xfId="0" applyNumberFormat="1" applyFont="1" applyFill="1" applyBorder="1" applyAlignment="1"/>
    <xf numFmtId="4" fontId="8" fillId="0" borderId="0" xfId="0" applyNumberFormat="1" applyFont="1" applyFill="1" applyBorder="1" applyAlignment="1"/>
    <xf numFmtId="3" fontId="17" fillId="0" borderId="4" xfId="0" applyNumberFormat="1" applyFont="1" applyBorder="1"/>
    <xf numFmtId="4" fontId="7" fillId="0" borderId="69" xfId="0" applyNumberFormat="1" applyFont="1" applyFill="1" applyBorder="1" applyAlignment="1">
      <alignment horizontal="right"/>
    </xf>
    <xf numFmtId="1" fontId="10" fillId="0" borderId="8" xfId="0" applyNumberFormat="1" applyFont="1" applyFill="1" applyBorder="1" applyAlignment="1">
      <alignment horizontal="center"/>
    </xf>
    <xf numFmtId="9" fontId="7" fillId="0" borderId="69" xfId="0" applyNumberFormat="1" applyFont="1" applyFill="1" applyBorder="1" applyAlignment="1">
      <alignment horizontal="right"/>
    </xf>
    <xf numFmtId="4" fontId="12" fillId="0" borderId="0" xfId="0" applyNumberFormat="1" applyFont="1" applyFill="1" applyBorder="1" applyAlignment="1">
      <alignment horizontal="right"/>
    </xf>
    <xf numFmtId="9" fontId="7" fillId="0" borderId="69" xfId="0" applyNumberFormat="1" applyFont="1" applyFill="1" applyBorder="1" applyAlignment="1">
      <alignment horizontal="left"/>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Fill="1" applyBorder="1" applyAlignment="1">
      <alignment horizontal="right"/>
    </xf>
    <xf numFmtId="0" fontId="7" fillId="0" borderId="22" xfId="0" applyFont="1" applyFill="1" applyBorder="1" applyAlignment="1">
      <alignment horizontal="right"/>
    </xf>
    <xf numFmtId="4" fontId="7" fillId="0" borderId="40" xfId="0" applyNumberFormat="1" applyFont="1" applyFill="1" applyBorder="1" applyAlignment="1">
      <alignment horizontal="right"/>
    </xf>
    <xf numFmtId="0" fontId="7" fillId="0" borderId="31" xfId="0" applyFont="1" applyFill="1" applyBorder="1" applyAlignment="1">
      <alignment horizontal="center" vertical="center"/>
    </xf>
    <xf numFmtId="0" fontId="7" fillId="7" borderId="20" xfId="0" applyFont="1" applyFill="1" applyBorder="1" applyAlignment="1">
      <alignment horizontal="right"/>
    </xf>
    <xf numFmtId="0" fontId="7" fillId="7" borderId="56" xfId="0" applyFont="1" applyFill="1" applyBorder="1" applyAlignment="1">
      <alignment horizontal="right"/>
    </xf>
    <xf numFmtId="4" fontId="8" fillId="7" borderId="21" xfId="0" applyNumberFormat="1" applyFont="1" applyFill="1" applyBorder="1" applyAlignment="1">
      <alignment horizontal="right"/>
    </xf>
    <xf numFmtId="0" fontId="8" fillId="0" borderId="73" xfId="0" applyFont="1" applyFill="1" applyBorder="1" applyAlignment="1">
      <alignment horizontal="center"/>
    </xf>
    <xf numFmtId="0" fontId="8" fillId="0" borderId="14" xfId="0" applyFont="1" applyFill="1" applyBorder="1" applyAlignment="1">
      <alignment horizontal="center"/>
    </xf>
    <xf numFmtId="0" fontId="8" fillId="0" borderId="72" xfId="0" applyFont="1" applyFill="1" applyBorder="1" applyAlignment="1">
      <alignment horizontal="center"/>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7" fillId="0" borderId="31" xfId="0" applyFont="1" applyBorder="1" applyAlignment="1">
      <alignment horizontal="center" vertical="center"/>
    </xf>
    <xf numFmtId="0" fontId="7" fillId="0" borderId="56" xfId="0" applyFont="1" applyFill="1" applyBorder="1" applyAlignment="1">
      <alignment horizontal="right"/>
    </xf>
    <xf numFmtId="4" fontId="8" fillId="0" borderId="21" xfId="0" applyNumberFormat="1" applyFont="1" applyFill="1" applyBorder="1" applyAlignment="1">
      <alignment horizontal="right"/>
    </xf>
    <xf numFmtId="0" fontId="7" fillId="7" borderId="20" xfId="0" applyFont="1" applyFill="1" applyBorder="1" applyAlignment="1">
      <alignment horizontal="left"/>
    </xf>
    <xf numFmtId="0" fontId="7" fillId="7" borderId="56" xfId="0" applyFont="1" applyFill="1" applyBorder="1" applyAlignment="1">
      <alignment horizontal="left"/>
    </xf>
    <xf numFmtId="0" fontId="7" fillId="7" borderId="21" xfId="0" applyFont="1" applyFill="1" applyBorder="1" applyAlignment="1">
      <alignment horizontal="left"/>
    </xf>
    <xf numFmtId="4" fontId="8" fillId="0" borderId="30" xfId="0" applyNumberFormat="1" applyFont="1" applyFill="1" applyBorder="1" applyAlignment="1"/>
    <xf numFmtId="0" fontId="7" fillId="0" borderId="20" xfId="0" applyFont="1" applyFill="1" applyBorder="1" applyAlignment="1">
      <alignment horizontal="right"/>
    </xf>
    <xf numFmtId="0" fontId="7" fillId="0" borderId="14" xfId="0" applyFont="1" applyFill="1" applyBorder="1" applyAlignment="1">
      <alignment horizontal="left"/>
    </xf>
    <xf numFmtId="4" fontId="7" fillId="0" borderId="30" xfId="0" applyNumberFormat="1" applyFont="1" applyFill="1" applyBorder="1" applyAlignment="1"/>
    <xf numFmtId="0" fontId="7" fillId="0" borderId="13" xfId="0" applyFont="1" applyBorder="1" applyAlignment="1">
      <alignment horizontal="center" vertical="center"/>
    </xf>
    <xf numFmtId="0" fontId="7" fillId="0" borderId="73" xfId="0" applyFont="1" applyFill="1" applyBorder="1" applyAlignment="1">
      <alignment horizontal="left"/>
    </xf>
    <xf numFmtId="0" fontId="7" fillId="0" borderId="72" xfId="0" applyFont="1" applyFill="1" applyBorder="1" applyAlignment="1">
      <alignment horizontal="left"/>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4" fontId="0" fillId="0" borderId="0" xfId="0" applyNumberFormat="1" applyBorder="1"/>
    <xf numFmtId="4" fontId="18" fillId="0" borderId="0" xfId="0" applyNumberFormat="1" applyFont="1" applyBorder="1" applyAlignment="1">
      <alignment vertical="center"/>
    </xf>
    <xf numFmtId="4" fontId="7" fillId="7" borderId="20" xfId="0" applyNumberFormat="1" applyFont="1" applyFill="1" applyBorder="1" applyAlignment="1">
      <alignment horizontal="right"/>
    </xf>
    <xf numFmtId="0" fontId="28" fillId="0" borderId="0" xfId="4"/>
    <xf numFmtId="0" fontId="32" fillId="0" borderId="49" xfId="4" applyFont="1" applyBorder="1" applyAlignment="1">
      <alignment horizontal="center" vertical="center" wrapText="1"/>
    </xf>
    <xf numFmtId="0" fontId="32" fillId="0" borderId="56" xfId="4" applyFont="1" applyBorder="1" applyAlignment="1">
      <alignment wrapText="1"/>
    </xf>
    <xf numFmtId="0" fontId="32" fillId="0" borderId="56" xfId="4" applyFont="1" applyBorder="1" applyAlignment="1">
      <alignment horizontal="center" vertical="center" wrapText="1"/>
    </xf>
    <xf numFmtId="0" fontId="32" fillId="0" borderId="21" xfId="4" applyFont="1" applyBorder="1" applyAlignment="1">
      <alignment horizontal="center" vertical="center" wrapText="1"/>
    </xf>
    <xf numFmtId="0" fontId="32" fillId="0" borderId="57" xfId="4" applyFont="1" applyBorder="1"/>
    <xf numFmtId="167" fontId="32" fillId="0" borderId="0" xfId="4" applyNumberFormat="1" applyFont="1" applyBorder="1"/>
    <xf numFmtId="3" fontId="32" fillId="0" borderId="57" xfId="4" applyNumberFormat="1" applyFont="1" applyBorder="1"/>
    <xf numFmtId="3" fontId="32" fillId="0" borderId="30" xfId="4" applyNumberFormat="1" applyFont="1" applyBorder="1"/>
    <xf numFmtId="4" fontId="28" fillId="0" borderId="0" xfId="4" applyNumberFormat="1"/>
    <xf numFmtId="0" fontId="32" fillId="0" borderId="49" xfId="4" applyFont="1" applyBorder="1"/>
    <xf numFmtId="10" fontId="32" fillId="0" borderId="49" xfId="4" applyNumberFormat="1" applyFont="1" applyBorder="1" applyAlignment="1">
      <alignment horizontal="right"/>
    </xf>
    <xf numFmtId="3" fontId="33" fillId="0" borderId="49" xfId="4" applyNumberFormat="1" applyFont="1" applyBorder="1"/>
    <xf numFmtId="0" fontId="32" fillId="0" borderId="0" xfId="4" applyFont="1"/>
    <xf numFmtId="0" fontId="32" fillId="0" borderId="0" xfId="4" applyFont="1" applyFill="1" applyBorder="1"/>
    <xf numFmtId="4" fontId="32" fillId="0" borderId="49" xfId="4" applyNumberFormat="1" applyFont="1" applyBorder="1" applyAlignment="1">
      <alignment horizontal="right"/>
    </xf>
    <xf numFmtId="10" fontId="32" fillId="0" borderId="55" xfId="4" applyNumberFormat="1" applyFont="1" applyBorder="1" applyAlignment="1">
      <alignment horizontal="right"/>
    </xf>
    <xf numFmtId="10" fontId="32" fillId="0" borderId="57" xfId="4" applyNumberFormat="1" applyFont="1" applyBorder="1" applyAlignment="1">
      <alignment horizontal="right"/>
    </xf>
    <xf numFmtId="10" fontId="32" fillId="0" borderId="59" xfId="4" applyNumberFormat="1" applyFont="1" applyBorder="1" applyAlignment="1">
      <alignment horizontal="right"/>
    </xf>
    <xf numFmtId="10" fontId="32" fillId="8" borderId="57" xfId="4" applyNumberFormat="1" applyFont="1" applyFill="1" applyBorder="1" applyAlignment="1">
      <alignment horizontal="right"/>
    </xf>
    <xf numFmtId="4" fontId="32" fillId="0" borderId="0" xfId="4" applyNumberFormat="1" applyFont="1"/>
    <xf numFmtId="0" fontId="32" fillId="0" borderId="10" xfId="4" applyFont="1" applyBorder="1"/>
    <xf numFmtId="4" fontId="32" fillId="0" borderId="10" xfId="4" applyNumberFormat="1" applyFont="1" applyBorder="1"/>
    <xf numFmtId="0" fontId="32" fillId="0" borderId="4" xfId="4" applyFont="1" applyBorder="1"/>
    <xf numFmtId="4" fontId="32" fillId="0" borderId="4" xfId="4" applyNumberFormat="1" applyFont="1" applyBorder="1"/>
    <xf numFmtId="10" fontId="32" fillId="0" borderId="0" xfId="4" applyNumberFormat="1" applyFont="1" applyBorder="1"/>
    <xf numFmtId="10" fontId="32" fillId="0" borderId="49" xfId="4" applyNumberFormat="1" applyFont="1" applyBorder="1"/>
    <xf numFmtId="0" fontId="32" fillId="9" borderId="49" xfId="4" applyFont="1" applyFill="1" applyBorder="1" applyAlignment="1">
      <alignment horizontal="center" vertical="center" wrapText="1"/>
    </xf>
    <xf numFmtId="0" fontId="32" fillId="9" borderId="56" xfId="4" applyFont="1" applyFill="1" applyBorder="1" applyAlignment="1">
      <alignment wrapText="1"/>
    </xf>
    <xf numFmtId="0" fontId="32" fillId="9" borderId="56" xfId="4" applyFont="1" applyFill="1" applyBorder="1" applyAlignment="1">
      <alignment horizontal="center" vertical="center" wrapText="1"/>
    </xf>
    <xf numFmtId="0" fontId="32" fillId="9" borderId="21" xfId="4" applyFont="1" applyFill="1" applyBorder="1" applyAlignment="1">
      <alignment horizontal="center" vertical="center" wrapText="1"/>
    </xf>
    <xf numFmtId="167" fontId="32" fillId="0" borderId="55" xfId="4" applyNumberFormat="1" applyFont="1" applyBorder="1" applyAlignment="1">
      <alignment horizontal="right"/>
    </xf>
    <xf numFmtId="4" fontId="32" fillId="0" borderId="57" xfId="4" applyNumberFormat="1" applyFont="1" applyBorder="1"/>
    <xf numFmtId="4" fontId="32" fillId="0" borderId="0" xfId="4" applyNumberFormat="1" applyFont="1" applyBorder="1"/>
    <xf numFmtId="4" fontId="32" fillId="0" borderId="55" xfId="4" applyNumberFormat="1" applyFont="1" applyBorder="1"/>
    <xf numFmtId="4" fontId="32" fillId="0" borderId="30" xfId="4" applyNumberFormat="1" applyFont="1" applyBorder="1"/>
    <xf numFmtId="167" fontId="32" fillId="0" borderId="57" xfId="4" applyNumberFormat="1" applyFont="1" applyBorder="1" applyAlignment="1">
      <alignment horizontal="right"/>
    </xf>
    <xf numFmtId="167" fontId="32" fillId="0" borderId="59" xfId="4" applyNumberFormat="1" applyFont="1" applyBorder="1" applyAlignment="1">
      <alignment horizontal="right"/>
    </xf>
    <xf numFmtId="4" fontId="32" fillId="0" borderId="59" xfId="4" applyNumberFormat="1" applyFont="1" applyBorder="1"/>
    <xf numFmtId="167" fontId="32" fillId="0" borderId="49" xfId="4" applyNumberFormat="1" applyFont="1" applyBorder="1" applyAlignment="1">
      <alignment horizontal="right"/>
    </xf>
    <xf numFmtId="4" fontId="33" fillId="0" borderId="49" xfId="4" applyNumberFormat="1" applyFont="1" applyBorder="1"/>
    <xf numFmtId="4" fontId="30" fillId="9" borderId="4" xfId="4" applyNumberFormat="1" applyFont="1" applyFill="1" applyBorder="1"/>
    <xf numFmtId="167" fontId="43" fillId="0" borderId="4" xfId="4" applyNumberFormat="1" applyFont="1" applyBorder="1" applyAlignment="1">
      <alignment horizontal="right" vertical="center"/>
    </xf>
    <xf numFmtId="4" fontId="31" fillId="0" borderId="4" xfId="4" applyNumberFormat="1" applyFont="1" applyBorder="1"/>
    <xf numFmtId="3" fontId="32" fillId="0" borderId="49" xfId="4" applyNumberFormat="1" applyFont="1" applyBorder="1"/>
    <xf numFmtId="0" fontId="43" fillId="0" borderId="0" xfId="4" applyFont="1"/>
    <xf numFmtId="9" fontId="43" fillId="0" borderId="0" xfId="4" applyNumberFormat="1" applyFont="1"/>
    <xf numFmtId="0" fontId="32" fillId="0" borderId="56" xfId="4" applyFont="1" applyBorder="1" applyAlignment="1">
      <alignment horizontal="center" wrapText="1"/>
    </xf>
    <xf numFmtId="9" fontId="28" fillId="0" borderId="0" xfId="4" applyNumberFormat="1"/>
    <xf numFmtId="167" fontId="32" fillId="0" borderId="49" xfId="4" applyNumberFormat="1" applyFont="1" applyBorder="1"/>
    <xf numFmtId="0" fontId="30" fillId="0" borderId="13" xfId="4" applyFont="1" applyBorder="1"/>
    <xf numFmtId="0" fontId="30" fillId="0" borderId="14" xfId="4" applyFont="1" applyBorder="1"/>
    <xf numFmtId="4" fontId="33" fillId="0" borderId="58" xfId="4" applyNumberFormat="1" applyFont="1" applyBorder="1"/>
    <xf numFmtId="0" fontId="30" fillId="0" borderId="23" xfId="4" applyFont="1" applyBorder="1"/>
    <xf numFmtId="0" fontId="30" fillId="0" borderId="0" xfId="4" applyFont="1" applyBorder="1"/>
    <xf numFmtId="4" fontId="33" fillId="0" borderId="0" xfId="4" applyNumberFormat="1" applyFont="1" applyBorder="1"/>
    <xf numFmtId="4" fontId="33" fillId="0" borderId="30" xfId="4" applyNumberFormat="1" applyFont="1" applyBorder="1"/>
    <xf numFmtId="0" fontId="30" fillId="0" borderId="31" xfId="4" applyFont="1" applyBorder="1"/>
    <xf numFmtId="0" fontId="30" fillId="0" borderId="22" xfId="4" applyFont="1" applyBorder="1"/>
    <xf numFmtId="4" fontId="33" fillId="0" borderId="22" xfId="4" applyNumberFormat="1" applyFont="1" applyBorder="1"/>
    <xf numFmtId="4" fontId="33" fillId="0" borderId="40" xfId="4" applyNumberFormat="1" applyFont="1" applyBorder="1"/>
    <xf numFmtId="0" fontId="6" fillId="0" borderId="0" xfId="0" applyFont="1" applyFill="1" applyBorder="1"/>
    <xf numFmtId="49" fontId="2" fillId="0" borderId="0" xfId="0" applyNumberFormat="1" applyFont="1" applyFill="1" applyBorder="1" applyAlignment="1">
      <alignment horizontal="right"/>
    </xf>
    <xf numFmtId="49" fontId="6" fillId="0" borderId="0" xfId="0" applyNumberFormat="1" applyFont="1" applyFill="1" applyBorder="1" applyAlignment="1">
      <alignment horizontal="right"/>
    </xf>
    <xf numFmtId="49" fontId="2" fillId="0" borderId="0" xfId="0" applyNumberFormat="1" applyFont="1" applyFill="1" applyBorder="1"/>
    <xf numFmtId="0" fontId="39" fillId="0" borderId="0" xfId="0" applyFont="1"/>
    <xf numFmtId="0" fontId="11" fillId="0" borderId="0" xfId="0" applyFont="1" applyFill="1" applyBorder="1" applyAlignment="1">
      <alignment horizontal="left"/>
    </xf>
    <xf numFmtId="170" fontId="7" fillId="0" borderId="0" xfId="0" applyNumberFormat="1" applyFont="1" applyFill="1"/>
    <xf numFmtId="4" fontId="8" fillId="0" borderId="0" xfId="0" applyNumberFormat="1" applyFont="1"/>
    <xf numFmtId="4" fontId="8" fillId="0" borderId="0" xfId="0" applyNumberFormat="1" applyFont="1" applyFill="1"/>
    <xf numFmtId="0" fontId="39" fillId="0" borderId="0" xfId="0" applyFont="1" applyFill="1"/>
    <xf numFmtId="0" fontId="10" fillId="0" borderId="5" xfId="0" applyFont="1" applyBorder="1" applyAlignment="1">
      <alignment horizontal="center"/>
    </xf>
    <xf numFmtId="0" fontId="10" fillId="0" borderId="5" xfId="0" applyFont="1" applyBorder="1" applyAlignment="1">
      <alignment horizontal="center" vertical="center"/>
    </xf>
    <xf numFmtId="0" fontId="10" fillId="0" borderId="8" xfId="0" applyFont="1" applyBorder="1" applyAlignment="1">
      <alignment horizontal="center"/>
    </xf>
    <xf numFmtId="0" fontId="10" fillId="0" borderId="8" xfId="0" applyFont="1" applyBorder="1" applyAlignment="1">
      <alignment horizontal="center" vertical="center"/>
    </xf>
    <xf numFmtId="49" fontId="10" fillId="0" borderId="8" xfId="0" applyNumberFormat="1" applyFont="1" applyBorder="1" applyAlignment="1">
      <alignment horizontal="center"/>
    </xf>
    <xf numFmtId="49" fontId="10" fillId="0" borderId="10" xfId="0" applyNumberFormat="1" applyFont="1" applyBorder="1" applyAlignment="1">
      <alignment horizontal="center"/>
    </xf>
    <xf numFmtId="0" fontId="39" fillId="0" borderId="26" xfId="0" applyFont="1" applyBorder="1"/>
    <xf numFmtId="164" fontId="39" fillId="0" borderId="6" xfId="1" applyNumberFormat="1" applyFont="1" applyBorder="1" applyAlignment="1">
      <alignment horizontal="center"/>
    </xf>
    <xf numFmtId="4" fontId="39" fillId="0" borderId="6" xfId="0" applyNumberFormat="1" applyFont="1" applyBorder="1"/>
    <xf numFmtId="4" fontId="39" fillId="0" borderId="0" xfId="0" applyNumberFormat="1" applyFont="1"/>
    <xf numFmtId="4" fontId="44" fillId="0" borderId="0" xfId="0" applyNumberFormat="1" applyFont="1"/>
    <xf numFmtId="0" fontId="39" fillId="0" borderId="69" xfId="0" applyFont="1" applyBorder="1"/>
    <xf numFmtId="164" fontId="39" fillId="0" borderId="0" xfId="1" applyNumberFormat="1" applyFont="1" applyBorder="1" applyAlignment="1">
      <alignment horizontal="center"/>
    </xf>
    <xf numFmtId="4" fontId="39" fillId="0" borderId="0" xfId="0" applyNumberFormat="1" applyFont="1" applyBorder="1"/>
    <xf numFmtId="0" fontId="10" fillId="0" borderId="4" xfId="0" applyFont="1" applyBorder="1"/>
    <xf numFmtId="164" fontId="10" fillId="0" borderId="4" xfId="1" applyNumberFormat="1" applyFont="1" applyBorder="1" applyAlignment="1">
      <alignment horizontal="center"/>
    </xf>
    <xf numFmtId="4" fontId="10" fillId="0" borderId="4" xfId="0" applyNumberFormat="1" applyFont="1" applyBorder="1"/>
    <xf numFmtId="2" fontId="10" fillId="0" borderId="4" xfId="0" applyNumberFormat="1" applyFont="1" applyBorder="1"/>
    <xf numFmtId="0" fontId="30" fillId="0" borderId="0" xfId="4" applyFont="1" applyAlignment="1"/>
    <xf numFmtId="0" fontId="28" fillId="0" borderId="0" xfId="4" applyFont="1" applyAlignment="1">
      <alignment horizontal="center"/>
    </xf>
    <xf numFmtId="0" fontId="28" fillId="0" borderId="0" xfId="4" applyFill="1" applyAlignment="1">
      <alignment horizontal="center"/>
    </xf>
    <xf numFmtId="0" fontId="28" fillId="0" borderId="49" xfId="4" applyBorder="1" applyAlignment="1">
      <alignment horizontal="center"/>
    </xf>
    <xf numFmtId="0" fontId="28" fillId="0" borderId="49" xfId="4" applyFill="1" applyBorder="1" applyAlignment="1">
      <alignment horizontal="center"/>
    </xf>
    <xf numFmtId="4" fontId="28" fillId="0" borderId="49" xfId="4" applyNumberFormat="1" applyBorder="1"/>
    <xf numFmtId="4" fontId="12" fillId="0" borderId="49" xfId="5" applyNumberFormat="1" applyFont="1" applyFill="1" applyBorder="1" applyAlignment="1">
      <alignment horizontal="right" vertical="center"/>
    </xf>
    <xf numFmtId="4" fontId="28" fillId="6" borderId="0" xfId="4" applyNumberFormat="1" applyFill="1"/>
    <xf numFmtId="3" fontId="12" fillId="0" borderId="0" xfId="5" applyNumberFormat="1" applyFont="1" applyFill="1" applyBorder="1" applyAlignment="1">
      <alignment horizontal="right" vertical="center"/>
    </xf>
    <xf numFmtId="3" fontId="12" fillId="0" borderId="59" xfId="5" applyNumberFormat="1" applyFont="1" applyFill="1" applyBorder="1" applyAlignment="1">
      <alignment horizontal="right" vertical="center"/>
    </xf>
    <xf numFmtId="3" fontId="12" fillId="0" borderId="31" xfId="5" applyNumberFormat="1" applyFont="1" applyFill="1" applyBorder="1" applyAlignment="1">
      <alignment horizontal="right" vertical="center"/>
    </xf>
    <xf numFmtId="10" fontId="28" fillId="0" borderId="49" xfId="4" applyNumberFormat="1" applyBorder="1"/>
    <xf numFmtId="10" fontId="28" fillId="0" borderId="0" xfId="4" applyNumberFormat="1" applyFill="1"/>
    <xf numFmtId="10" fontId="28" fillId="0" borderId="59" xfId="4" applyNumberFormat="1" applyFill="1" applyBorder="1"/>
    <xf numFmtId="4" fontId="28" fillId="0" borderId="49" xfId="4" applyNumberFormat="1" applyFill="1" applyBorder="1"/>
    <xf numFmtId="4" fontId="28" fillId="0" borderId="0" xfId="4" applyNumberFormat="1" applyBorder="1"/>
    <xf numFmtId="4" fontId="28" fillId="0" borderId="0" xfId="4" applyNumberFormat="1" applyFill="1" applyBorder="1"/>
    <xf numFmtId="0" fontId="28" fillId="0" borderId="49" xfId="4" applyFont="1" applyBorder="1"/>
    <xf numFmtId="4" fontId="28" fillId="0" borderId="0" xfId="4" applyNumberFormat="1" applyFill="1"/>
    <xf numFmtId="0" fontId="28" fillId="0" borderId="22" xfId="4" applyBorder="1" applyAlignment="1"/>
    <xf numFmtId="0" fontId="28" fillId="0" borderId="22" xfId="4" applyFill="1" applyBorder="1" applyAlignment="1"/>
    <xf numFmtId="3" fontId="12" fillId="0" borderId="49" xfId="5" applyNumberFormat="1" applyFont="1" applyFill="1" applyBorder="1" applyAlignment="1">
      <alignment horizontal="right" vertical="center"/>
    </xf>
    <xf numFmtId="3" fontId="28" fillId="0" borderId="0" xfId="4" applyNumberFormat="1" applyFill="1" applyBorder="1"/>
    <xf numFmtId="9" fontId="28" fillId="0" borderId="0" xfId="4" applyNumberFormat="1" applyFont="1" applyBorder="1"/>
    <xf numFmtId="3" fontId="28" fillId="0" borderId="0" xfId="4" applyNumberFormat="1"/>
    <xf numFmtId="3" fontId="28" fillId="0" borderId="0" xfId="4" applyNumberFormat="1" applyBorder="1"/>
    <xf numFmtId="10" fontId="28" fillId="0" borderId="49" xfId="4" applyNumberFormat="1" applyFill="1" applyBorder="1"/>
    <xf numFmtId="4" fontId="22" fillId="0" borderId="49" xfId="4" applyNumberFormat="1" applyFont="1" applyFill="1" applyBorder="1" applyAlignment="1">
      <alignment horizontal="right"/>
    </xf>
    <xf numFmtId="0" fontId="28" fillId="0" borderId="0" xfId="4" applyFont="1" applyBorder="1"/>
    <xf numFmtId="0" fontId="28" fillId="0" borderId="0" xfId="4" applyFill="1"/>
    <xf numFmtId="3" fontId="12" fillId="0" borderId="0" xfId="5" applyNumberFormat="1" applyFont="1" applyFill="1" applyAlignment="1">
      <alignment horizontal="right" vertical="center"/>
    </xf>
    <xf numFmtId="4" fontId="22" fillId="0" borderId="0" xfId="4" applyNumberFormat="1" applyFont="1" applyFill="1" applyAlignment="1">
      <alignment horizontal="right"/>
    </xf>
    <xf numFmtId="0" fontId="28" fillId="0" borderId="0" xfId="4" applyFont="1" applyFill="1" applyAlignment="1">
      <alignment horizontal="center"/>
    </xf>
    <xf numFmtId="0" fontId="28" fillId="0" borderId="0" xfId="4" applyBorder="1" applyAlignment="1"/>
    <xf numFmtId="3" fontId="28" fillId="0" borderId="22" xfId="4" applyNumberFormat="1" applyBorder="1" applyAlignment="1"/>
    <xf numFmtId="167" fontId="28" fillId="0" borderId="22" xfId="4" applyNumberFormat="1" applyFill="1" applyBorder="1" applyAlignment="1"/>
    <xf numFmtId="10" fontId="28" fillId="0" borderId="0" xfId="4" applyNumberFormat="1"/>
    <xf numFmtId="4" fontId="28" fillId="0" borderId="20" xfId="4" applyNumberFormat="1" applyFill="1" applyBorder="1"/>
    <xf numFmtId="4" fontId="28" fillId="6" borderId="49" xfId="4" applyNumberFormat="1" applyFill="1" applyBorder="1"/>
    <xf numFmtId="4" fontId="28" fillId="0" borderId="49" xfId="4" applyNumberFormat="1" applyFont="1" applyFill="1" applyBorder="1"/>
    <xf numFmtId="4" fontId="28" fillId="0" borderId="49" xfId="4" applyNumberFormat="1" applyFont="1" applyBorder="1"/>
    <xf numFmtId="0" fontId="30" fillId="0" borderId="0" xfId="4" applyFont="1" applyFill="1"/>
    <xf numFmtId="4" fontId="30" fillId="0" borderId="49" xfId="4" applyNumberFormat="1" applyFont="1" applyBorder="1"/>
    <xf numFmtId="4" fontId="30" fillId="0" borderId="49" xfId="4" applyNumberFormat="1" applyFont="1" applyFill="1" applyBorder="1"/>
    <xf numFmtId="4" fontId="28" fillId="0" borderId="14" xfId="4" applyNumberFormat="1" applyFill="1" applyBorder="1"/>
    <xf numFmtId="4" fontId="28" fillId="0" borderId="22" xfId="4" applyNumberFormat="1" applyFill="1" applyBorder="1"/>
    <xf numFmtId="3" fontId="28" fillId="0" borderId="0" xfId="4" applyNumberFormat="1" applyFill="1"/>
    <xf numFmtId="0" fontId="30" fillId="0" borderId="20" xfId="4" applyFont="1" applyFill="1" applyBorder="1"/>
    <xf numFmtId="0" fontId="30" fillId="0" borderId="21" xfId="4" applyFont="1" applyFill="1" applyBorder="1"/>
    <xf numFmtId="4" fontId="30" fillId="13" borderId="49" xfId="4" applyNumberFormat="1" applyFont="1" applyFill="1" applyBorder="1"/>
    <xf numFmtId="0" fontId="30" fillId="0" borderId="0" xfId="4" applyFont="1"/>
    <xf numFmtId="3" fontId="28" fillId="0" borderId="0" xfId="2" applyNumberFormat="1"/>
    <xf numFmtId="4" fontId="28" fillId="0" borderId="0" xfId="2" applyNumberFormat="1"/>
    <xf numFmtId="0" fontId="33" fillId="9" borderId="4" xfId="4" applyFont="1" applyFill="1" applyBorder="1"/>
    <xf numFmtId="0" fontId="33" fillId="9" borderId="1" xfId="4" applyFont="1" applyFill="1" applyBorder="1"/>
    <xf numFmtId="0" fontId="33" fillId="9" borderId="3" xfId="4" applyFont="1" applyFill="1" applyBorder="1"/>
    <xf numFmtId="4" fontId="46" fillId="0" borderId="0" xfId="4" applyNumberFormat="1" applyFont="1"/>
    <xf numFmtId="0" fontId="32" fillId="0" borderId="56" xfId="2" applyFont="1" applyFill="1" applyBorder="1" applyAlignment="1">
      <alignment horizontal="center" wrapText="1"/>
    </xf>
    <xf numFmtId="3" fontId="7" fillId="0" borderId="36" xfId="0" applyNumberFormat="1" applyFont="1" applyBorder="1"/>
    <xf numFmtId="3" fontId="7" fillId="0" borderId="75" xfId="0" applyNumberFormat="1" applyFont="1" applyFill="1" applyBorder="1"/>
    <xf numFmtId="3" fontId="7" fillId="0" borderId="76" xfId="0" applyNumberFormat="1" applyFont="1" applyFill="1" applyBorder="1"/>
    <xf numFmtId="3" fontId="7" fillId="0" borderId="47" xfId="0" applyNumberFormat="1" applyFont="1" applyFill="1" applyBorder="1"/>
    <xf numFmtId="3" fontId="7" fillId="0" borderId="32" xfId="0" applyNumberFormat="1" applyFont="1" applyFill="1" applyBorder="1"/>
    <xf numFmtId="3" fontId="7" fillId="0" borderId="64" xfId="0" applyNumberFormat="1" applyFont="1" applyFill="1" applyBorder="1"/>
    <xf numFmtId="3" fontId="7" fillId="5" borderId="1" xfId="0" applyNumberFormat="1" applyFont="1" applyFill="1" applyBorder="1"/>
    <xf numFmtId="3" fontId="7" fillId="0" borderId="74" xfId="0" applyNumberFormat="1" applyFont="1" applyFill="1" applyBorder="1"/>
    <xf numFmtId="3" fontId="7" fillId="0" borderId="46" xfId="0" applyNumberFormat="1" applyFont="1" applyFill="1" applyBorder="1"/>
    <xf numFmtId="3" fontId="7" fillId="0" borderId="63" xfId="0" applyNumberFormat="1" applyFont="1" applyFill="1" applyBorder="1"/>
    <xf numFmtId="3" fontId="8" fillId="0" borderId="1" xfId="0" applyNumberFormat="1" applyFont="1" applyBorder="1"/>
    <xf numFmtId="3" fontId="8" fillId="0" borderId="49" xfId="0" applyNumberFormat="1" applyFont="1" applyBorder="1"/>
    <xf numFmtId="3" fontId="25" fillId="0" borderId="49" xfId="0" applyNumberFormat="1" applyFont="1" applyBorder="1"/>
    <xf numFmtId="0" fontId="7" fillId="0" borderId="5" xfId="0" applyFont="1" applyBorder="1"/>
    <xf numFmtId="168" fontId="7" fillId="0" borderId="5" xfId="1" applyNumberFormat="1" applyFont="1" applyBorder="1"/>
    <xf numFmtId="171" fontId="7" fillId="0" borderId="5" xfId="1" applyNumberFormat="1" applyFont="1" applyBorder="1"/>
    <xf numFmtId="167" fontId="7" fillId="0" borderId="5" xfId="0" applyNumberFormat="1" applyFont="1" applyBorder="1" applyAlignment="1">
      <alignment horizontal="center"/>
    </xf>
    <xf numFmtId="3" fontId="7" fillId="0" borderId="5" xfId="0" applyNumberFormat="1" applyFont="1" applyBorder="1" applyAlignment="1">
      <alignment horizontal="right"/>
    </xf>
    <xf numFmtId="0" fontId="7" fillId="0" borderId="8" xfId="0" applyFont="1" applyBorder="1"/>
    <xf numFmtId="168" fontId="7" fillId="0" borderId="8" xfId="1" applyNumberFormat="1" applyFont="1" applyBorder="1"/>
    <xf numFmtId="171" fontId="7" fillId="0" borderId="8" xfId="1" applyNumberFormat="1" applyFont="1" applyBorder="1"/>
    <xf numFmtId="167" fontId="7" fillId="0" borderId="8" xfId="0" applyNumberFormat="1" applyFont="1" applyBorder="1" applyAlignment="1">
      <alignment horizontal="center"/>
    </xf>
    <xf numFmtId="0" fontId="7" fillId="0" borderId="10" xfId="0" applyFont="1" applyBorder="1"/>
    <xf numFmtId="168" fontId="7" fillId="0" borderId="10" xfId="1" applyNumberFormat="1" applyFont="1" applyBorder="1"/>
    <xf numFmtId="171" fontId="7" fillId="0" borderId="10" xfId="1" applyNumberFormat="1" applyFont="1" applyBorder="1"/>
    <xf numFmtId="167" fontId="7" fillId="0" borderId="10" xfId="0" applyNumberFormat="1" applyFont="1" applyBorder="1" applyAlignment="1">
      <alignment horizontal="center"/>
    </xf>
    <xf numFmtId="3" fontId="7" fillId="0" borderId="10" xfId="0" applyNumberFormat="1" applyFont="1" applyBorder="1" applyAlignment="1">
      <alignment horizontal="right"/>
    </xf>
    <xf numFmtId="0" fontId="8" fillId="0" borderId="0" xfId="0" applyFont="1" applyAlignment="1">
      <alignment horizontal="center"/>
    </xf>
    <xf numFmtId="0" fontId="8" fillId="0" borderId="55" xfId="0" applyFont="1" applyBorder="1" applyAlignment="1">
      <alignment horizontal="center" vertical="center" wrapText="1"/>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 fontId="7" fillId="0" borderId="0" xfId="0" applyNumberFormat="1" applyFont="1" applyFill="1" applyBorder="1" applyAlignment="1">
      <alignment horizontal="right"/>
    </xf>
    <xf numFmtId="0" fontId="8" fillId="0" borderId="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0" fontId="10" fillId="0" borderId="13" xfId="0" applyFont="1" applyFill="1" applyBorder="1" applyAlignment="1">
      <alignment horizontal="center"/>
    </xf>
    <xf numFmtId="0" fontId="10" fillId="0" borderId="55" xfId="0" applyFont="1" applyFill="1" applyBorder="1" applyAlignment="1">
      <alignment horizontal="center"/>
    </xf>
    <xf numFmtId="0" fontId="10" fillId="0" borderId="23" xfId="0" applyFont="1" applyFill="1" applyBorder="1" applyAlignment="1">
      <alignment horizontal="center"/>
    </xf>
    <xf numFmtId="0" fontId="10" fillId="0" borderId="57" xfId="0" applyFont="1" applyFill="1" applyBorder="1" applyAlignment="1">
      <alignment horizontal="center"/>
    </xf>
    <xf numFmtId="9" fontId="10" fillId="0" borderId="57" xfId="0" applyNumberFormat="1" applyFont="1" applyFill="1" applyBorder="1" applyAlignment="1">
      <alignment horizontal="center"/>
    </xf>
    <xf numFmtId="1" fontId="10" fillId="0" borderId="23" xfId="0" applyNumberFormat="1" applyFont="1" applyFill="1" applyBorder="1" applyAlignment="1">
      <alignment horizontal="center"/>
    </xf>
    <xf numFmtId="1" fontId="10" fillId="0" borderId="57" xfId="0" applyNumberFormat="1" applyFont="1" applyFill="1" applyBorder="1" applyAlignment="1">
      <alignment horizontal="center"/>
    </xf>
    <xf numFmtId="49" fontId="10" fillId="0" borderId="31" xfId="0" applyNumberFormat="1" applyFont="1" applyFill="1" applyBorder="1" applyAlignment="1">
      <alignment horizontal="center"/>
    </xf>
    <xf numFmtId="49" fontId="10" fillId="0" borderId="59" xfId="0" applyNumberFormat="1" applyFont="1" applyFill="1" applyBorder="1" applyAlignment="1">
      <alignment horizontal="center"/>
    </xf>
    <xf numFmtId="49" fontId="10" fillId="0" borderId="59" xfId="0" applyNumberFormat="1" applyFont="1" applyBorder="1" applyAlignment="1">
      <alignment horizontal="center" vertical="center" wrapText="1"/>
    </xf>
    <xf numFmtId="49" fontId="16" fillId="0" borderId="22" xfId="0" applyNumberFormat="1" applyFont="1" applyFill="1" applyBorder="1" applyAlignment="1">
      <alignment horizontal="center" vertical="center" wrapText="1"/>
    </xf>
    <xf numFmtId="0" fontId="10" fillId="0" borderId="59" xfId="0" applyFont="1" applyBorder="1" applyAlignment="1">
      <alignment horizontal="center" vertical="center" wrapText="1"/>
    </xf>
    <xf numFmtId="0" fontId="1" fillId="0" borderId="60" xfId="0" applyFont="1" applyFill="1" applyBorder="1"/>
    <xf numFmtId="3" fontId="1" fillId="0" borderId="43" xfId="0" applyNumberFormat="1" applyFont="1" applyFill="1" applyBorder="1"/>
    <xf numFmtId="166" fontId="1" fillId="0" borderId="10" xfId="0" applyNumberFormat="1" applyFont="1" applyFill="1" applyBorder="1"/>
    <xf numFmtId="167" fontId="1" fillId="0" borderId="10" xfId="0" applyNumberFormat="1" applyFont="1" applyFill="1" applyBorder="1"/>
    <xf numFmtId="165" fontId="1" fillId="0" borderId="44" xfId="0" applyNumberFormat="1" applyFont="1" applyFill="1" applyBorder="1" applyAlignment="1">
      <alignment horizontal="right"/>
    </xf>
    <xf numFmtId="165" fontId="1" fillId="0" borderId="43" xfId="0" applyNumberFormat="1" applyFont="1" applyFill="1" applyBorder="1" applyAlignment="1">
      <alignment horizontal="right"/>
    </xf>
    <xf numFmtId="165" fontId="1" fillId="0" borderId="10" xfId="0" applyNumberFormat="1" applyFont="1" applyFill="1" applyBorder="1" applyAlignment="1">
      <alignment horizontal="right"/>
    </xf>
    <xf numFmtId="3" fontId="1" fillId="0" borderId="44" xfId="0" applyNumberFormat="1" applyFont="1" applyFill="1" applyBorder="1"/>
    <xf numFmtId="165" fontId="1" fillId="0" borderId="12" xfId="0" applyNumberFormat="1" applyFont="1" applyFill="1" applyBorder="1"/>
    <xf numFmtId="3" fontId="1" fillId="0" borderId="42" xfId="0" applyNumberFormat="1" applyFont="1" applyFill="1" applyBorder="1"/>
    <xf numFmtId="165" fontId="1" fillId="0" borderId="61" xfId="0" applyNumberFormat="1" applyFont="1" applyFill="1" applyBorder="1"/>
    <xf numFmtId="166" fontId="1" fillId="0" borderId="4" xfId="0" applyNumberFormat="1" applyFont="1" applyFill="1" applyBorder="1"/>
    <xf numFmtId="165" fontId="1" fillId="0" borderId="3" xfId="0" applyNumberFormat="1" applyFont="1" applyFill="1" applyBorder="1"/>
    <xf numFmtId="0" fontId="1" fillId="0" borderId="62" xfId="0" applyFont="1" applyFill="1" applyBorder="1"/>
    <xf numFmtId="166" fontId="1" fillId="0" borderId="36" xfId="0" applyNumberFormat="1" applyFont="1" applyFill="1" applyBorder="1"/>
    <xf numFmtId="167" fontId="1" fillId="0" borderId="36" xfId="0" applyNumberFormat="1" applyFont="1" applyFill="1" applyBorder="1"/>
    <xf numFmtId="166" fontId="1" fillId="0" borderId="32" xfId="0" applyNumberFormat="1" applyFont="1" applyFill="1" applyBorder="1"/>
    <xf numFmtId="165" fontId="1" fillId="0" borderId="65" xfId="0" applyNumberFormat="1" applyFont="1" applyFill="1" applyBorder="1"/>
    <xf numFmtId="3" fontId="5" fillId="0" borderId="52" xfId="0" applyNumberFormat="1" applyFont="1" applyFill="1" applyBorder="1"/>
    <xf numFmtId="166" fontId="5" fillId="0" borderId="49" xfId="0" applyNumberFormat="1" applyFont="1" applyFill="1" applyBorder="1"/>
    <xf numFmtId="169" fontId="5" fillId="0" borderId="49" xfId="0" applyNumberFormat="1" applyFont="1" applyFill="1" applyBorder="1"/>
    <xf numFmtId="165" fontId="5" fillId="0" borderId="49" xfId="0" applyNumberFormat="1" applyFont="1" applyFill="1" applyBorder="1" applyAlignment="1">
      <alignment horizontal="right"/>
    </xf>
    <xf numFmtId="166" fontId="5" fillId="0" borderId="20" xfId="0" applyNumberFormat="1" applyFont="1" applyFill="1" applyBorder="1"/>
    <xf numFmtId="167" fontId="5" fillId="0" borderId="49" xfId="0" applyNumberFormat="1" applyFont="1" applyFill="1" applyBorder="1"/>
    <xf numFmtId="3" fontId="5" fillId="0" borderId="49" xfId="0" applyNumberFormat="1" applyFont="1" applyFill="1" applyBorder="1"/>
    <xf numFmtId="167" fontId="5" fillId="0" borderId="20" xfId="0" applyNumberFormat="1" applyFont="1" applyFill="1" applyBorder="1"/>
    <xf numFmtId="0" fontId="7" fillId="0" borderId="0" xfId="0" applyFont="1" applyBorder="1" applyAlignment="1">
      <alignment horizontal="left" vertical="center"/>
    </xf>
    <xf numFmtId="164" fontId="5" fillId="0" borderId="0" xfId="1" applyNumberFormat="1" applyFont="1" applyFill="1" applyBorder="1" applyAlignment="1">
      <alignment horizontal="center"/>
    </xf>
    <xf numFmtId="165" fontId="5" fillId="0" borderId="0" xfId="1" applyNumberFormat="1" applyFont="1" applyFill="1" applyBorder="1"/>
    <xf numFmtId="3" fontId="5" fillId="0" borderId="0" xfId="0" applyNumberFormat="1" applyFont="1" applyFill="1" applyBorder="1"/>
    <xf numFmtId="166" fontId="5" fillId="0" borderId="0" xfId="0" applyNumberFormat="1" applyFont="1" applyFill="1" applyBorder="1"/>
    <xf numFmtId="169" fontId="5" fillId="0" borderId="0" xfId="0" applyNumberFormat="1" applyFont="1" applyFill="1" applyBorder="1"/>
    <xf numFmtId="165" fontId="5" fillId="0" borderId="0" xfId="0" applyNumberFormat="1" applyFont="1" applyFill="1" applyBorder="1" applyAlignment="1">
      <alignment horizontal="right"/>
    </xf>
    <xf numFmtId="167" fontId="5" fillId="0" borderId="0" xfId="0" applyNumberFormat="1" applyFont="1" applyFill="1" applyBorder="1"/>
    <xf numFmtId="165" fontId="5" fillId="0" borderId="0" xfId="0" applyNumberFormat="1" applyFont="1" applyFill="1" applyBorder="1"/>
    <xf numFmtId="0" fontId="11" fillId="0" borderId="0" xfId="0" applyFont="1" applyFill="1" applyAlignment="1">
      <alignment horizontal="right" vertical="top"/>
    </xf>
    <xf numFmtId="0" fontId="8" fillId="0" borderId="0" xfId="0" applyFont="1" applyFill="1" applyBorder="1" applyAlignment="1">
      <alignment horizontal="right"/>
    </xf>
    <xf numFmtId="4" fontId="7" fillId="0" borderId="23" xfId="0" applyNumberFormat="1" applyFont="1" applyFill="1" applyBorder="1" applyAlignment="1"/>
    <xf numFmtId="4" fontId="7" fillId="6" borderId="0" xfId="0" applyNumberFormat="1" applyFont="1" applyFill="1" applyBorder="1" applyAlignment="1"/>
    <xf numFmtId="4" fontId="7" fillId="0" borderId="4" xfId="0" applyNumberFormat="1" applyFont="1" applyFill="1" applyBorder="1" applyAlignment="1">
      <alignment horizontal="right"/>
    </xf>
    <xf numFmtId="4" fontId="7" fillId="0" borderId="47" xfId="0" applyNumberFormat="1" applyFont="1" applyFill="1" applyBorder="1" applyAlignment="1">
      <alignment horizontal="right"/>
    </xf>
    <xf numFmtId="0" fontId="39" fillId="0" borderId="0" xfId="0" applyFont="1" applyFill="1" applyAlignment="1">
      <alignment vertical="center" wrapText="1"/>
    </xf>
    <xf numFmtId="0" fontId="28" fillId="0" borderId="0" xfId="4" applyFill="1" applyBorder="1" applyAlignment="1">
      <alignment horizontal="center"/>
    </xf>
    <xf numFmtId="0" fontId="28" fillId="0" borderId="0" xfId="4" applyBorder="1" applyAlignment="1">
      <alignment horizontal="center"/>
    </xf>
    <xf numFmtId="167" fontId="43" fillId="0" borderId="55" xfId="4" applyNumberFormat="1" applyFont="1" applyBorder="1" applyAlignment="1">
      <alignment horizontal="right" vertical="center"/>
    </xf>
    <xf numFmtId="167" fontId="43" fillId="0" borderId="57" xfId="4" applyNumberFormat="1" applyFont="1" applyBorder="1" applyAlignment="1">
      <alignment horizontal="right" vertical="center"/>
    </xf>
    <xf numFmtId="167" fontId="43" fillId="0" borderId="59" xfId="4" applyNumberFormat="1" applyFont="1" applyBorder="1" applyAlignment="1">
      <alignment horizontal="right" vertical="center"/>
    </xf>
    <xf numFmtId="0" fontId="30" fillId="0" borderId="22" xfId="4" applyFont="1" applyBorder="1" applyAlignment="1"/>
    <xf numFmtId="10" fontId="32" fillId="0" borderId="57" xfId="4" applyNumberFormat="1" applyFont="1" applyFill="1" applyBorder="1" applyAlignment="1">
      <alignment horizontal="right"/>
    </xf>
    <xf numFmtId="166" fontId="32" fillId="0" borderId="0" xfId="4" applyNumberFormat="1" applyFont="1" applyBorder="1"/>
    <xf numFmtId="166" fontId="32" fillId="0" borderId="49" xfId="4" applyNumberFormat="1" applyFont="1" applyBorder="1"/>
    <xf numFmtId="0" fontId="48" fillId="15" borderId="5" xfId="0" applyFont="1" applyFill="1" applyBorder="1" applyAlignment="1">
      <alignment horizontal="center"/>
    </xf>
    <xf numFmtId="0" fontId="48" fillId="15" borderId="8" xfId="0" applyFont="1" applyFill="1" applyBorder="1" applyAlignment="1">
      <alignment horizontal="center"/>
    </xf>
    <xf numFmtId="0" fontId="48" fillId="15" borderId="10" xfId="0" applyFont="1" applyFill="1" applyBorder="1" applyAlignment="1">
      <alignment horizontal="center"/>
    </xf>
    <xf numFmtId="0" fontId="46" fillId="0" borderId="4" xfId="0" applyFont="1" applyBorder="1" applyAlignment="1">
      <alignment horizontal="center"/>
    </xf>
    <xf numFmtId="0" fontId="49" fillId="0" borderId="4" xfId="0" applyFont="1" applyBorder="1" applyAlignment="1">
      <alignment wrapText="1"/>
    </xf>
    <xf numFmtId="4" fontId="9" fillId="0" borderId="4" xfId="0" applyNumberFormat="1" applyFont="1" applyBorder="1"/>
    <xf numFmtId="173" fontId="9" fillId="0" borderId="4" xfId="0" applyNumberFormat="1" applyFont="1" applyBorder="1"/>
    <xf numFmtId="0" fontId="49" fillId="5" borderId="4" xfId="0" applyFont="1" applyFill="1" applyBorder="1" applyAlignment="1">
      <alignment wrapText="1"/>
    </xf>
    <xf numFmtId="4" fontId="9" fillId="15" borderId="4" xfId="0" applyNumberFormat="1" applyFont="1" applyFill="1" applyBorder="1"/>
    <xf numFmtId="4" fontId="50" fillId="15" borderId="4" xfId="0" applyNumberFormat="1" applyFont="1" applyFill="1" applyBorder="1"/>
    <xf numFmtId="4" fontId="9" fillId="0" borderId="8" xfId="0" applyNumberFormat="1" applyFont="1" applyFill="1" applyBorder="1"/>
    <xf numFmtId="0" fontId="28" fillId="0" borderId="0" xfId="4" applyAlignment="1">
      <alignment horizontal="center"/>
    </xf>
    <xf numFmtId="4" fontId="32" fillId="0" borderId="49" xfId="4" applyNumberFormat="1" applyFont="1" applyBorder="1"/>
    <xf numFmtId="166" fontId="28" fillId="0" borderId="0" xfId="4" applyNumberFormat="1" applyFill="1"/>
    <xf numFmtId="0" fontId="28" fillId="0" borderId="0" xfId="4" applyAlignment="1"/>
    <xf numFmtId="166" fontId="28" fillId="0" borderId="0" xfId="4" applyNumberFormat="1" applyAlignment="1"/>
    <xf numFmtId="3" fontId="12" fillId="17" borderId="49" xfId="5" applyNumberFormat="1" applyFont="1" applyFill="1" applyBorder="1" applyAlignment="1">
      <alignment horizontal="right" vertical="center"/>
    </xf>
    <xf numFmtId="3" fontId="12" fillId="17" borderId="20" xfId="5" applyNumberFormat="1" applyFont="1" applyFill="1" applyBorder="1" applyAlignment="1">
      <alignment horizontal="right" vertical="center"/>
    </xf>
    <xf numFmtId="3" fontId="28" fillId="6" borderId="49" xfId="4" applyNumberFormat="1" applyFill="1" applyBorder="1"/>
    <xf numFmtId="10" fontId="28" fillId="0" borderId="59" xfId="4" applyNumberFormat="1" applyBorder="1"/>
    <xf numFmtId="166" fontId="28" fillId="0" borderId="0" xfId="4" applyNumberFormat="1"/>
    <xf numFmtId="4" fontId="28" fillId="0" borderId="20" xfId="4" applyNumberFormat="1" applyBorder="1"/>
    <xf numFmtId="4" fontId="22" fillId="17" borderId="49" xfId="4" applyNumberFormat="1" applyFont="1" applyFill="1" applyBorder="1" applyAlignment="1">
      <alignment horizontal="right"/>
    </xf>
    <xf numFmtId="4" fontId="22" fillId="17" borderId="0" xfId="4" applyNumberFormat="1" applyFont="1" applyFill="1" applyAlignment="1">
      <alignment horizontal="right"/>
    </xf>
    <xf numFmtId="4" fontId="22" fillId="17" borderId="0" xfId="4" applyNumberFormat="1" applyFont="1" applyFill="1" applyBorder="1" applyAlignment="1">
      <alignment horizontal="right"/>
    </xf>
    <xf numFmtId="167" fontId="28" fillId="0" borderId="22" xfId="4" applyNumberFormat="1" applyBorder="1" applyAlignment="1"/>
    <xf numFmtId="0" fontId="32" fillId="0" borderId="55" xfId="4" applyFont="1" applyBorder="1"/>
    <xf numFmtId="0" fontId="32" fillId="0" borderId="79" xfId="4" applyFont="1" applyBorder="1"/>
    <xf numFmtId="4" fontId="28" fillId="0" borderId="79" xfId="4" applyNumberFormat="1" applyFill="1" applyBorder="1"/>
    <xf numFmtId="4" fontId="30" fillId="0" borderId="79" xfId="4" applyNumberFormat="1" applyFont="1" applyBorder="1"/>
    <xf numFmtId="0" fontId="1" fillId="0" borderId="5" xfId="0" applyFont="1" applyBorder="1"/>
    <xf numFmtId="49" fontId="1" fillId="0" borderId="7" xfId="0" applyNumberFormat="1" applyFont="1" applyBorder="1" applyAlignment="1">
      <alignment horizontal="right"/>
    </xf>
    <xf numFmtId="49" fontId="1" fillId="0" borderId="7" xfId="0" applyNumberFormat="1" applyFont="1" applyFill="1" applyBorder="1" applyAlignment="1">
      <alignment horizontal="right"/>
    </xf>
    <xf numFmtId="0" fontId="1" fillId="0" borderId="8" xfId="0" applyFont="1" applyBorder="1"/>
    <xf numFmtId="49" fontId="1" fillId="0" borderId="9" xfId="0" applyNumberFormat="1" applyFont="1" applyBorder="1" applyAlignment="1">
      <alignment horizontal="right"/>
    </xf>
    <xf numFmtId="49" fontId="1" fillId="0" borderId="9" xfId="0" applyNumberFormat="1" applyFont="1" applyFill="1" applyBorder="1" applyAlignment="1">
      <alignment horizontal="right"/>
    </xf>
    <xf numFmtId="0" fontId="1" fillId="0" borderId="10" xfId="0" applyFont="1" applyBorder="1"/>
    <xf numFmtId="49" fontId="1" fillId="0" borderId="12" xfId="0" applyNumberFormat="1" applyFont="1" applyBorder="1" applyAlignment="1">
      <alignment horizontal="right"/>
    </xf>
    <xf numFmtId="49" fontId="1" fillId="0" borderId="12" xfId="0" applyNumberFormat="1" applyFont="1" applyFill="1" applyBorder="1" applyAlignment="1">
      <alignment horizontal="right"/>
    </xf>
    <xf numFmtId="49" fontId="1" fillId="0" borderId="10" xfId="0" applyNumberFormat="1" applyFont="1" applyBorder="1" applyAlignment="1">
      <alignment horizontal="left"/>
    </xf>
    <xf numFmtId="4" fontId="51" fillId="18" borderId="30" xfId="0" applyNumberFormat="1" applyFont="1" applyFill="1" applyBorder="1" applyAlignment="1">
      <alignment horizontal="right"/>
    </xf>
    <xf numFmtId="4" fontId="52" fillId="18" borderId="30" xfId="0" applyNumberFormat="1" applyFont="1" applyFill="1" applyBorder="1" applyAlignment="1">
      <alignment horizontal="right"/>
    </xf>
    <xf numFmtId="4" fontId="52" fillId="18" borderId="30" xfId="0" applyNumberFormat="1" applyFont="1" applyFill="1" applyBorder="1" applyAlignment="1"/>
    <xf numFmtId="4" fontId="52" fillId="18" borderId="30" xfId="0" applyNumberFormat="1" applyFont="1" applyFill="1" applyBorder="1"/>
    <xf numFmtId="4" fontId="51" fillId="18" borderId="0" xfId="4" applyNumberFormat="1" applyFont="1" applyFill="1"/>
    <xf numFmtId="0" fontId="33" fillId="9" borderId="49" xfId="4" applyFont="1" applyFill="1" applyBorder="1" applyAlignment="1">
      <alignment horizontal="center" vertical="center" wrapText="1"/>
    </xf>
    <xf numFmtId="0" fontId="33" fillId="9" borderId="56" xfId="4" applyFont="1" applyFill="1" applyBorder="1" applyAlignment="1">
      <alignment wrapText="1"/>
    </xf>
    <xf numFmtId="0" fontId="33" fillId="9" borderId="56" xfId="4" applyFont="1" applyFill="1" applyBorder="1" applyAlignment="1">
      <alignment horizontal="center" vertical="center" wrapText="1"/>
    </xf>
    <xf numFmtId="0" fontId="33" fillId="9" borderId="21" xfId="4" applyFont="1" applyFill="1" applyBorder="1" applyAlignment="1">
      <alignment horizontal="center" vertical="center" wrapText="1"/>
    </xf>
    <xf numFmtId="0" fontId="33" fillId="19" borderId="49" xfId="4" applyFont="1" applyFill="1" applyBorder="1" applyAlignment="1">
      <alignment horizontal="center" vertical="center" wrapText="1"/>
    </xf>
    <xf numFmtId="0" fontId="33" fillId="19" borderId="56" xfId="4" applyFont="1" applyFill="1" applyBorder="1" applyAlignment="1">
      <alignment horizontal="center" wrapText="1"/>
    </xf>
    <xf numFmtId="0" fontId="33" fillId="19" borderId="56" xfId="4" applyFont="1" applyFill="1" applyBorder="1" applyAlignment="1">
      <alignment horizontal="center" vertical="center" wrapText="1"/>
    </xf>
    <xf numFmtId="0" fontId="33" fillId="19" borderId="21" xfId="4" applyFont="1" applyFill="1" applyBorder="1" applyAlignment="1">
      <alignment horizontal="center" vertical="center" wrapText="1"/>
    </xf>
    <xf numFmtId="0" fontId="33" fillId="19" borderId="56" xfId="4" applyFont="1" applyFill="1" applyBorder="1" applyAlignment="1">
      <alignment wrapText="1"/>
    </xf>
    <xf numFmtId="0" fontId="8" fillId="19" borderId="4" xfId="0" applyFont="1" applyFill="1" applyBorder="1" applyAlignment="1">
      <alignment horizontal="center" vertical="center"/>
    </xf>
    <xf numFmtId="0" fontId="8" fillId="19" borderId="5" xfId="0" applyFont="1" applyFill="1" applyBorder="1" applyAlignment="1">
      <alignment horizontal="center" vertical="center"/>
    </xf>
    <xf numFmtId="0" fontId="5" fillId="19" borderId="37" xfId="0" applyFont="1" applyFill="1" applyBorder="1" applyAlignment="1">
      <alignment horizontal="center"/>
    </xf>
    <xf numFmtId="0" fontId="5" fillId="19" borderId="36" xfId="0" applyFont="1" applyFill="1" applyBorder="1" applyAlignment="1">
      <alignment horizontal="center"/>
    </xf>
    <xf numFmtId="167" fontId="7" fillId="0" borderId="43" xfId="0" applyNumberFormat="1" applyFont="1" applyFill="1" applyBorder="1"/>
    <xf numFmtId="165" fontId="7" fillId="0" borderId="44" xfId="0" applyNumberFormat="1" applyFont="1" applyFill="1" applyBorder="1"/>
    <xf numFmtId="168" fontId="7" fillId="0" borderId="43" xfId="0" applyNumberFormat="1" applyFont="1" applyFill="1" applyBorder="1"/>
    <xf numFmtId="168" fontId="7" fillId="0" borderId="10" xfId="0" applyNumberFormat="1" applyFont="1" applyFill="1" applyBorder="1"/>
    <xf numFmtId="3" fontId="0" fillId="0" borderId="44" xfId="0" applyNumberFormat="1" applyFont="1" applyFill="1" applyBorder="1" applyAlignment="1"/>
    <xf numFmtId="167" fontId="0" fillId="0" borderId="43" xfId="0" applyNumberFormat="1" applyFont="1" applyFill="1" applyBorder="1" applyAlignment="1"/>
    <xf numFmtId="167" fontId="0" fillId="0" borderId="18" xfId="0" applyNumberFormat="1" applyFont="1" applyFill="1" applyBorder="1" applyAlignment="1"/>
    <xf numFmtId="3" fontId="0" fillId="0" borderId="11" xfId="0" applyNumberFormat="1" applyFont="1" applyFill="1" applyBorder="1" applyAlignment="1"/>
    <xf numFmtId="167" fontId="0" fillId="0" borderId="43" xfId="0" applyNumberFormat="1" applyFont="1" applyBorder="1" applyAlignment="1"/>
    <xf numFmtId="3" fontId="0" fillId="0" borderId="44" xfId="0" applyNumberFormat="1" applyFont="1" applyBorder="1" applyAlignment="1"/>
    <xf numFmtId="167" fontId="0" fillId="0" borderId="11" xfId="0" applyNumberFormat="1" applyFont="1" applyBorder="1" applyAlignment="1"/>
    <xf numFmtId="3" fontId="0" fillId="0" borderId="76" xfId="0" applyNumberFormat="1" applyFont="1" applyBorder="1" applyAlignment="1"/>
    <xf numFmtId="167" fontId="0" fillId="0" borderId="3" xfId="0" applyNumberFormat="1" applyFont="1" applyFill="1" applyBorder="1" applyAlignment="1"/>
    <xf numFmtId="3" fontId="0" fillId="0" borderId="47" xfId="0" applyNumberFormat="1" applyFont="1" applyBorder="1" applyAlignment="1"/>
    <xf numFmtId="167" fontId="0" fillId="0" borderId="34" xfId="0" applyNumberFormat="1" applyFont="1" applyFill="1" applyBorder="1" applyAlignment="1"/>
    <xf numFmtId="3" fontId="0" fillId="0" borderId="37" xfId="0" applyNumberFormat="1" applyFont="1" applyFill="1" applyBorder="1" applyAlignment="1"/>
    <xf numFmtId="167" fontId="0" fillId="0" borderId="65" xfId="0" applyNumberFormat="1" applyFont="1" applyFill="1" applyBorder="1" applyAlignment="1"/>
    <xf numFmtId="3" fontId="0" fillId="0" borderId="64" xfId="0" applyNumberFormat="1" applyFont="1" applyBorder="1" applyAlignment="1"/>
    <xf numFmtId="167" fontId="7" fillId="0" borderId="53" xfId="0" applyNumberFormat="1" applyFont="1" applyFill="1" applyBorder="1"/>
    <xf numFmtId="165" fontId="7" fillId="0" borderId="54" xfId="0" applyNumberFormat="1" applyFont="1" applyFill="1" applyBorder="1"/>
    <xf numFmtId="168" fontId="7" fillId="0" borderId="53" xfId="0" applyNumberFormat="1" applyFont="1" applyFill="1" applyBorder="1"/>
    <xf numFmtId="168" fontId="7" fillId="0" borderId="51" xfId="0" applyNumberFormat="1" applyFont="1" applyFill="1" applyBorder="1"/>
    <xf numFmtId="3" fontId="0" fillId="0" borderId="54" xfId="0" applyNumberFormat="1" applyFont="1" applyFill="1" applyBorder="1"/>
    <xf numFmtId="167" fontId="0" fillId="0" borderId="50" xfId="0" applyNumberFormat="1" applyFont="1" applyFill="1" applyBorder="1"/>
    <xf numFmtId="167" fontId="0" fillId="0" borderId="53" xfId="0" applyNumberFormat="1" applyFont="1" applyBorder="1"/>
    <xf numFmtId="3" fontId="0" fillId="0" borderId="54" xfId="0" applyNumberFormat="1" applyFont="1" applyBorder="1"/>
    <xf numFmtId="167" fontId="0" fillId="0" borderId="54" xfId="0" applyNumberFormat="1" applyFont="1" applyBorder="1"/>
    <xf numFmtId="0" fontId="8" fillId="19" borderId="14" xfId="0" applyFont="1" applyFill="1" applyBorder="1" applyAlignment="1">
      <alignment horizontal="center"/>
    </xf>
    <xf numFmtId="0" fontId="0" fillId="19" borderId="14" xfId="0" applyFill="1" applyBorder="1" applyAlignment="1">
      <alignment horizontal="center"/>
    </xf>
    <xf numFmtId="0" fontId="0" fillId="19" borderId="14" xfId="0" applyFill="1" applyBorder="1"/>
    <xf numFmtId="0" fontId="0" fillId="19" borderId="4" xfId="0" applyFill="1" applyBorder="1"/>
    <xf numFmtId="2" fontId="8" fillId="19" borderId="4" xfId="0" applyNumberFormat="1" applyFont="1" applyFill="1" applyBorder="1" applyAlignment="1">
      <alignment horizontal="center"/>
    </xf>
    <xf numFmtId="0" fontId="8" fillId="19" borderId="4" xfId="0" applyFont="1" applyFill="1" applyBorder="1" applyAlignment="1">
      <alignment horizontal="center"/>
    </xf>
    <xf numFmtId="4" fontId="8" fillId="19" borderId="4" xfId="0" applyNumberFormat="1" applyFont="1" applyFill="1" applyBorder="1" applyAlignment="1">
      <alignment horizontal="center" vertical="center" wrapText="1"/>
    </xf>
    <xf numFmtId="0" fontId="8" fillId="19" borderId="1" xfId="0" applyFont="1" applyFill="1" applyBorder="1" applyAlignment="1">
      <alignment horizontal="center"/>
    </xf>
    <xf numFmtId="0" fontId="0" fillId="19" borderId="4" xfId="0" applyFill="1" applyBorder="1" applyAlignment="1">
      <alignment horizontal="center" vertical="center" wrapText="1"/>
    </xf>
    <xf numFmtId="49" fontId="8" fillId="19" borderId="32" xfId="0" applyNumberFormat="1" applyFont="1" applyFill="1" applyBorder="1" applyAlignment="1">
      <alignment horizontal="center"/>
    </xf>
    <xf numFmtId="0" fontId="8" fillId="19" borderId="32" xfId="0" applyFont="1" applyFill="1" applyBorder="1" applyAlignment="1">
      <alignment horizontal="center"/>
    </xf>
    <xf numFmtId="9" fontId="8" fillId="19" borderId="32" xfId="0" applyNumberFormat="1" applyFont="1" applyFill="1" applyBorder="1" applyAlignment="1">
      <alignment horizontal="center"/>
    </xf>
    <xf numFmtId="0" fontId="0" fillId="19" borderId="32" xfId="0" applyFill="1" applyBorder="1" applyAlignment="1">
      <alignment horizontal="center" vertical="center" wrapText="1"/>
    </xf>
    <xf numFmtId="0" fontId="8" fillId="19" borderId="33" xfId="0" applyFont="1" applyFill="1" applyBorder="1" applyAlignment="1">
      <alignment horizontal="center"/>
    </xf>
    <xf numFmtId="0" fontId="8" fillId="19" borderId="37" xfId="0" applyFont="1" applyFill="1" applyBorder="1" applyAlignment="1">
      <alignment horizontal="center" vertical="center" wrapText="1"/>
    </xf>
    <xf numFmtId="0" fontId="5" fillId="0" borderId="0" xfId="0" applyFont="1" applyAlignment="1"/>
    <xf numFmtId="167" fontId="8" fillId="0" borderId="0" xfId="0" applyNumberFormat="1" applyFont="1" applyFill="1" applyBorder="1"/>
    <xf numFmtId="0" fontId="7" fillId="0" borderId="0" xfId="0" applyFont="1" applyFill="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4" fontId="7" fillId="0" borderId="0" xfId="0" applyNumberFormat="1"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3" fontId="7" fillId="0" borderId="53" xfId="0" applyNumberFormat="1" applyFont="1" applyBorder="1" applyAlignment="1">
      <alignment horizontal="right"/>
    </xf>
    <xf numFmtId="3" fontId="8" fillId="0" borderId="0" xfId="0" applyNumberFormat="1" applyFont="1" applyFill="1" applyBorder="1" applyAlignment="1">
      <alignment horizontal="center"/>
    </xf>
    <xf numFmtId="3" fontId="7" fillId="0" borderId="0" xfId="0" applyNumberFormat="1" applyFont="1" applyFill="1" applyBorder="1" applyAlignment="1">
      <alignment horizontal="right"/>
    </xf>
    <xf numFmtId="4" fontId="25" fillId="6" borderId="49" xfId="4" applyNumberFormat="1" applyFont="1" applyFill="1" applyBorder="1"/>
    <xf numFmtId="4" fontId="8" fillId="14" borderId="49" xfId="0" applyNumberFormat="1" applyFont="1" applyFill="1" applyBorder="1" applyAlignment="1"/>
    <xf numFmtId="4" fontId="7" fillId="0" borderId="1" xfId="0" applyNumberFormat="1" applyFont="1" applyFill="1" applyBorder="1" applyAlignment="1">
      <alignment horizontal="right"/>
    </xf>
    <xf numFmtId="4" fontId="7" fillId="0" borderId="2" xfId="0" applyNumberFormat="1" applyFont="1" applyFill="1" applyBorder="1" applyAlignment="1">
      <alignment horizontal="right"/>
    </xf>
    <xf numFmtId="4" fontId="7" fillId="0" borderId="80" xfId="0" applyNumberFormat="1" applyFont="1" applyFill="1" applyBorder="1" applyAlignment="1">
      <alignment horizontal="right"/>
    </xf>
    <xf numFmtId="3" fontId="7" fillId="0" borderId="66" xfId="0" applyNumberFormat="1" applyFont="1" applyBorder="1" applyAlignment="1">
      <alignment horizontal="right"/>
    </xf>
    <xf numFmtId="0" fontId="33" fillId="9" borderId="56" xfId="4" applyFont="1" applyFill="1" applyBorder="1" applyAlignment="1">
      <alignment horizontal="center" wrapText="1"/>
    </xf>
    <xf numFmtId="0" fontId="28" fillId="19" borderId="0" xfId="4" applyFont="1" applyFill="1" applyAlignment="1">
      <alignment horizontal="center"/>
    </xf>
    <xf numFmtId="0" fontId="28" fillId="19" borderId="0" xfId="4" applyFill="1" applyAlignment="1">
      <alignment horizontal="center"/>
    </xf>
    <xf numFmtId="0" fontId="28" fillId="19" borderId="22" xfId="4" applyFill="1" applyBorder="1" applyAlignment="1"/>
    <xf numFmtId="0" fontId="28" fillId="19" borderId="49" xfId="4" applyFill="1" applyBorder="1" applyAlignment="1">
      <alignment horizontal="center"/>
    </xf>
    <xf numFmtId="4" fontId="28" fillId="19" borderId="49" xfId="4" applyNumberFormat="1" applyFill="1" applyBorder="1"/>
    <xf numFmtId="4" fontId="22" fillId="19" borderId="0" xfId="4" applyNumberFormat="1" applyFont="1" applyFill="1" applyAlignment="1">
      <alignment horizontal="right"/>
    </xf>
    <xf numFmtId="10" fontId="28" fillId="19" borderId="49" xfId="4" applyNumberFormat="1" applyFill="1" applyBorder="1"/>
    <xf numFmtId="4" fontId="28" fillId="19" borderId="0" xfId="4" applyNumberFormat="1" applyFill="1" applyBorder="1"/>
    <xf numFmtId="0" fontId="28" fillId="19" borderId="49" xfId="4" applyFont="1" applyFill="1" applyBorder="1"/>
    <xf numFmtId="4" fontId="28" fillId="19" borderId="0" xfId="4" applyNumberFormat="1" applyFill="1"/>
    <xf numFmtId="1" fontId="10" fillId="0" borderId="28" xfId="0" applyNumberFormat="1" applyFont="1" applyFill="1" applyBorder="1" applyAlignment="1">
      <alignment horizontal="center"/>
    </xf>
    <xf numFmtId="0" fontId="2"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6" fillId="0" borderId="0" xfId="0" applyFont="1" applyFill="1" applyBorder="1" applyAlignment="1">
      <alignment horizontal="center" vertical="center"/>
    </xf>
    <xf numFmtId="0" fontId="8" fillId="19" borderId="1" xfId="0" applyFont="1" applyFill="1" applyBorder="1" applyAlignment="1">
      <alignment horizontal="center" vertical="distributed"/>
    </xf>
    <xf numFmtId="0" fontId="8" fillId="19" borderId="3" xfId="0" applyFont="1" applyFill="1" applyBorder="1" applyAlignment="1">
      <alignment horizontal="center" vertical="distributed"/>
    </xf>
    <xf numFmtId="0" fontId="8" fillId="19" borderId="4" xfId="0" applyFont="1" applyFill="1" applyBorder="1" applyAlignment="1">
      <alignment horizontal="center" vertical="distributed"/>
    </xf>
    <xf numFmtId="0" fontId="8" fillId="19" borderId="4" xfId="0" applyFont="1" applyFill="1" applyBorder="1" applyAlignment="1">
      <alignment horizontal="center" vertical="center"/>
    </xf>
    <xf numFmtId="0" fontId="8" fillId="19" borderId="1" xfId="0" applyFont="1" applyFill="1" applyBorder="1" applyAlignment="1">
      <alignment horizontal="center" vertical="center" wrapText="1"/>
    </xf>
    <xf numFmtId="0" fontId="8" fillId="19" borderId="3" xfId="0" applyFont="1" applyFill="1" applyBorder="1" applyAlignment="1">
      <alignment horizontal="center" vertical="center" wrapText="1"/>
    </xf>
    <xf numFmtId="0" fontId="8" fillId="19" borderId="4" xfId="0" applyFont="1" applyFill="1" applyBorder="1" applyAlignment="1">
      <alignment horizontal="center" vertical="center" wrapText="1"/>
    </xf>
    <xf numFmtId="0" fontId="5" fillId="0" borderId="0" xfId="0" applyFont="1" applyAlignment="1">
      <alignment horizontal="center"/>
    </xf>
    <xf numFmtId="0" fontId="5" fillId="0" borderId="0" xfId="0" applyFont="1" applyAlignment="1">
      <alignment horizontal="center" vertical="justify"/>
    </xf>
    <xf numFmtId="0" fontId="8" fillId="19" borderId="5" xfId="0" applyFont="1" applyFill="1" applyBorder="1" applyAlignment="1">
      <alignment horizontal="center" vertical="center"/>
    </xf>
    <xf numFmtId="0" fontId="8" fillId="19" borderId="4" xfId="0" applyFont="1" applyFill="1" applyBorder="1" applyAlignment="1">
      <alignment vertical="center" wrapText="1"/>
    </xf>
    <xf numFmtId="0" fontId="11" fillId="19" borderId="4" xfId="0" applyFont="1" applyFill="1" applyBorder="1" applyAlignment="1">
      <alignment horizontal="center" vertical="distributed"/>
    </xf>
    <xf numFmtId="0" fontId="8" fillId="0" borderId="0" xfId="0" applyFont="1" applyAlignment="1">
      <alignment horizontal="center"/>
    </xf>
    <xf numFmtId="0" fontId="8" fillId="19" borderId="13" xfId="0" applyFont="1" applyFill="1" applyBorder="1" applyAlignment="1">
      <alignment horizontal="center" vertical="center" wrapText="1"/>
    </xf>
    <xf numFmtId="0" fontId="8" fillId="19" borderId="23" xfId="0" applyFont="1" applyFill="1" applyBorder="1" applyAlignment="1">
      <alignment horizontal="center" vertical="center" wrapText="1"/>
    </xf>
    <xf numFmtId="0" fontId="8" fillId="19" borderId="31" xfId="0" applyFont="1" applyFill="1" applyBorder="1" applyAlignment="1">
      <alignment horizontal="center" vertical="center" wrapText="1"/>
    </xf>
    <xf numFmtId="0" fontId="8" fillId="19" borderId="15"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19" borderId="17" xfId="0" applyFont="1" applyFill="1" applyBorder="1" applyAlignment="1">
      <alignment horizontal="center" vertical="center" wrapText="1"/>
    </xf>
    <xf numFmtId="0" fontId="4" fillId="19" borderId="16" xfId="0" applyFont="1" applyFill="1" applyBorder="1" applyAlignment="1">
      <alignment horizontal="center" vertical="center" wrapText="1"/>
    </xf>
    <xf numFmtId="0" fontId="5" fillId="19" borderId="25" xfId="0" applyFont="1" applyFill="1" applyBorder="1" applyAlignment="1">
      <alignment horizontal="center" vertical="center" wrapText="1"/>
    </xf>
    <xf numFmtId="0" fontId="5" fillId="19" borderId="29" xfId="0" applyFont="1" applyFill="1" applyBorder="1" applyAlignment="1">
      <alignment horizontal="center" vertical="center" wrapText="1"/>
    </xf>
    <xf numFmtId="0" fontId="8" fillId="19" borderId="24" xfId="0" applyFont="1" applyFill="1" applyBorder="1" applyAlignment="1">
      <alignment horizontal="center" vertical="center" wrapText="1"/>
    </xf>
    <xf numFmtId="0" fontId="8" fillId="19" borderId="28" xfId="0" applyFont="1" applyFill="1" applyBorder="1" applyAlignment="1">
      <alignment horizontal="center" vertical="center" wrapText="1"/>
    </xf>
    <xf numFmtId="0" fontId="8" fillId="19" borderId="34" xfId="0" applyFont="1" applyFill="1" applyBorder="1" applyAlignment="1">
      <alignment horizontal="center" vertical="center" wrapText="1"/>
    </xf>
    <xf numFmtId="0" fontId="8" fillId="19" borderId="25" xfId="0" applyFont="1" applyFill="1" applyBorder="1" applyAlignment="1">
      <alignment horizontal="center" vertical="center" wrapText="1"/>
    </xf>
    <xf numFmtId="0" fontId="8" fillId="19" borderId="29" xfId="0"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8"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0" xfId="0" applyFont="1" applyFill="1" applyBorder="1" applyAlignment="1">
      <alignment horizontal="center" vertical="center" wrapText="1"/>
    </xf>
    <xf numFmtId="0" fontId="9" fillId="19" borderId="21"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8" fillId="19" borderId="9" xfId="0" applyFont="1" applyFill="1" applyBorder="1" applyAlignment="1">
      <alignment horizontal="center" vertical="center" wrapText="1"/>
    </xf>
    <xf numFmtId="0" fontId="8" fillId="19" borderId="38" xfId="0" applyFont="1" applyFill="1" applyBorder="1" applyAlignment="1">
      <alignment horizontal="center" vertical="center" wrapText="1"/>
    </xf>
    <xf numFmtId="0" fontId="11" fillId="19" borderId="18" xfId="0" applyFont="1" applyFill="1" applyBorder="1" applyAlignment="1">
      <alignment horizontal="center" vertical="center" wrapText="1"/>
    </xf>
    <xf numFmtId="0" fontId="9" fillId="19" borderId="76" xfId="0" applyFont="1" applyFill="1" applyBorder="1" applyAlignment="1">
      <alignment horizontal="center" vertical="center" wrapText="1"/>
    </xf>
    <xf numFmtId="0" fontId="21" fillId="0" borderId="0" xfId="0" applyFont="1" applyAlignment="1">
      <alignment horizontal="center" vertical="justify"/>
    </xf>
    <xf numFmtId="0" fontId="0" fillId="19" borderId="4" xfId="0" applyFill="1" applyBorder="1" applyAlignment="1">
      <alignment vertical="center" wrapText="1"/>
    </xf>
    <xf numFmtId="2" fontId="8" fillId="19" borderId="4" xfId="0" applyNumberFormat="1" applyFont="1" applyFill="1" applyBorder="1" applyAlignment="1">
      <alignment horizontal="center" wrapText="1"/>
    </xf>
    <xf numFmtId="0" fontId="0" fillId="19" borderId="32" xfId="0" applyFill="1" applyBorder="1" applyAlignment="1">
      <alignment vertical="center" wrapText="1"/>
    </xf>
    <xf numFmtId="0" fontId="8" fillId="19" borderId="4" xfId="0" applyFont="1" applyFill="1" applyBorder="1" applyAlignment="1">
      <alignment horizontal="center"/>
    </xf>
    <xf numFmtId="4" fontId="8" fillId="19" borderId="4" xfId="0" applyNumberFormat="1" applyFont="1" applyFill="1" applyBorder="1" applyAlignment="1">
      <alignment horizontal="center" vertical="center" wrapText="1"/>
    </xf>
    <xf numFmtId="0" fontId="0" fillId="19" borderId="4" xfId="0" applyFill="1" applyBorder="1" applyAlignment="1">
      <alignment horizontal="center" vertical="center" wrapText="1"/>
    </xf>
    <xf numFmtId="0" fontId="0" fillId="19" borderId="32" xfId="0" applyFill="1" applyBorder="1" applyAlignment="1">
      <alignment horizontal="center" vertical="center"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2" fontId="10" fillId="0" borderId="24"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43"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0" fillId="0" borderId="3" xfId="0" applyBorder="1" applyAlignment="1">
      <alignment horizontal="center" vertical="center" wrapText="1"/>
    </xf>
    <xf numFmtId="0" fontId="15" fillId="0" borderId="8"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165" fontId="18" fillId="0" borderId="0" xfId="0" applyNumberFormat="1" applyFont="1" applyAlignment="1">
      <alignment horizontal="left" vertical="center" wrapText="1"/>
    </xf>
    <xf numFmtId="0" fontId="18" fillId="0" borderId="0" xfId="0" applyFont="1" applyFill="1" applyAlignment="1">
      <alignment horizontal="left" wrapText="1"/>
    </xf>
    <xf numFmtId="0" fontId="18" fillId="0" borderId="14" xfId="0" applyFont="1" applyFill="1" applyBorder="1" applyAlignment="1">
      <alignment horizontal="left"/>
    </xf>
    <xf numFmtId="0" fontId="18" fillId="0" borderId="0" xfId="0" applyFont="1" applyAlignment="1">
      <alignment horizontal="left" vertical="center" wrapText="1"/>
    </xf>
    <xf numFmtId="0" fontId="8" fillId="0" borderId="0" xfId="0" applyFont="1" applyAlignment="1">
      <alignment horizontal="center" vertical="center"/>
    </xf>
    <xf numFmtId="0" fontId="8" fillId="0" borderId="55" xfId="0" applyFont="1" applyBorder="1" applyAlignment="1">
      <alignment horizontal="center" vertical="center" textRotation="90"/>
    </xf>
    <xf numFmtId="0" fontId="8" fillId="0" borderId="57" xfId="0" applyFont="1" applyBorder="1" applyAlignment="1">
      <alignment horizontal="center" vertical="center" textRotation="90"/>
    </xf>
    <xf numFmtId="0" fontId="8" fillId="0" borderId="59" xfId="0" applyFont="1" applyBorder="1" applyAlignment="1">
      <alignment horizontal="center" vertical="center" textRotation="90"/>
    </xf>
    <xf numFmtId="2" fontId="8" fillId="0" borderId="66" xfId="0" applyNumberFormat="1" applyFont="1" applyBorder="1" applyAlignment="1">
      <alignment horizontal="center" vertical="justify"/>
    </xf>
    <xf numFmtId="2" fontId="8" fillId="0" borderId="29" xfId="0" applyNumberFormat="1" applyFont="1" applyBorder="1" applyAlignment="1">
      <alignment horizontal="center" vertical="justify"/>
    </xf>
    <xf numFmtId="2" fontId="8" fillId="0" borderId="44" xfId="0" applyNumberFormat="1" applyFont="1" applyBorder="1" applyAlignment="1">
      <alignment horizontal="center" vertical="justify"/>
    </xf>
    <xf numFmtId="0" fontId="8" fillId="0" borderId="77" xfId="0" applyFont="1" applyBorder="1" applyAlignment="1">
      <alignment horizontal="center"/>
    </xf>
    <xf numFmtId="0" fontId="8" fillId="0" borderId="12" xfId="0" applyFont="1" applyBorder="1" applyAlignment="1">
      <alignment horizontal="center"/>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23" xfId="0" applyFont="1" applyBorder="1" applyAlignment="1">
      <alignment horizontal="center"/>
    </xf>
    <xf numFmtId="0" fontId="8" fillId="0" borderId="0" xfId="0" applyFont="1" applyBorder="1" applyAlignment="1">
      <alignment horizontal="center"/>
    </xf>
    <xf numFmtId="0" fontId="8" fillId="0" borderId="25" xfId="0" applyFont="1" applyBorder="1" applyAlignment="1">
      <alignment horizontal="center" vertical="justify"/>
    </xf>
    <xf numFmtId="0" fontId="8" fillId="0" borderId="29" xfId="0" applyFont="1" applyBorder="1" applyAlignment="1">
      <alignment horizontal="center" vertical="justify"/>
    </xf>
    <xf numFmtId="0" fontId="8" fillId="0" borderId="44" xfId="0" applyFont="1" applyBorder="1" applyAlignment="1">
      <alignment horizontal="center" vertical="justify"/>
    </xf>
    <xf numFmtId="0" fontId="8" fillId="0" borderId="81" xfId="0" applyFont="1" applyBorder="1" applyAlignment="1">
      <alignment horizontal="center" vertical="justify"/>
    </xf>
    <xf numFmtId="0" fontId="8" fillId="0" borderId="7" xfId="0" applyFont="1" applyBorder="1" applyAlignment="1">
      <alignment horizontal="center" vertical="justify"/>
    </xf>
    <xf numFmtId="0" fontId="8" fillId="0" borderId="77" xfId="0" applyFont="1" applyBorder="1" applyAlignment="1">
      <alignment horizontal="center" vertical="justify"/>
    </xf>
    <xf numFmtId="0" fontId="8" fillId="0" borderId="12" xfId="0" applyFont="1" applyBorder="1" applyAlignment="1">
      <alignment horizontal="center" vertical="justify"/>
    </xf>
    <xf numFmtId="0" fontId="39" fillId="0" borderId="0" xfId="0" applyFont="1" applyAlignment="1">
      <alignment horizontal="left" vertical="center" wrapText="1"/>
    </xf>
    <xf numFmtId="165" fontId="39" fillId="0" borderId="0" xfId="0" applyNumberFormat="1" applyFont="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24" xfId="0" applyFont="1" applyBorder="1" applyAlignment="1">
      <alignment horizontal="center" vertical="justify"/>
    </xf>
    <xf numFmtId="0" fontId="8" fillId="0" borderId="28" xfId="0" applyFont="1" applyBorder="1" applyAlignment="1">
      <alignment horizontal="center" vertical="justify"/>
    </xf>
    <xf numFmtId="0" fontId="8" fillId="0" borderId="43" xfId="0" applyFont="1" applyBorder="1" applyAlignment="1">
      <alignment horizontal="center" vertical="justify"/>
    </xf>
    <xf numFmtId="0" fontId="8" fillId="0" borderId="20" xfId="0" applyFont="1" applyBorder="1" applyAlignment="1">
      <alignment horizontal="left"/>
    </xf>
    <xf numFmtId="0" fontId="8" fillId="0" borderId="21" xfId="0" applyFont="1" applyBorder="1" applyAlignment="1">
      <alignment horizontal="left"/>
    </xf>
    <xf numFmtId="0" fontId="39" fillId="0" borderId="14" xfId="0" applyFont="1" applyBorder="1" applyAlignment="1">
      <alignment horizontal="left" vertical="center"/>
    </xf>
    <xf numFmtId="0" fontId="39" fillId="0" borderId="0" xfId="0" applyFont="1" applyAlignment="1">
      <alignment horizontal="left" vertical="justify"/>
    </xf>
    <xf numFmtId="0" fontId="0" fillId="0" borderId="0" xfId="0" applyAlignment="1">
      <alignment horizontal="right"/>
    </xf>
    <xf numFmtId="0" fontId="18" fillId="0" borderId="14" xfId="0" applyFont="1" applyBorder="1" applyAlignment="1">
      <alignment horizontal="left" vertical="center"/>
    </xf>
    <xf numFmtId="0" fontId="18" fillId="0" borderId="0" xfId="0" applyFont="1" applyAlignment="1">
      <alignment horizontal="left" vertical="justify"/>
    </xf>
    <xf numFmtId="0" fontId="35" fillId="0" borderId="0" xfId="0" applyFont="1" applyFill="1" applyBorder="1" applyAlignment="1">
      <alignment horizontal="left"/>
    </xf>
    <xf numFmtId="0" fontId="35" fillId="0" borderId="0" xfId="0" applyFont="1" applyAlignment="1">
      <alignment horizontal="left" vertical="center" wrapText="1"/>
    </xf>
    <xf numFmtId="0" fontId="8" fillId="0" borderId="70"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14" fillId="0" borderId="7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1" xfId="0" applyFont="1" applyFill="1" applyBorder="1" applyAlignment="1">
      <alignment horizontal="center" vertical="justify"/>
    </xf>
    <xf numFmtId="0" fontId="14" fillId="0" borderId="8" xfId="0" applyFont="1" applyFill="1" applyBorder="1" applyAlignment="1">
      <alignment horizontal="center" vertical="justify"/>
    </xf>
    <xf numFmtId="0" fontId="14" fillId="0" borderId="66" xfId="0" applyFont="1" applyFill="1" applyBorder="1" applyAlignment="1">
      <alignment horizontal="center" vertical="justify"/>
    </xf>
    <xf numFmtId="0" fontId="14" fillId="0" borderId="29" xfId="0" applyFont="1" applyFill="1" applyBorder="1" applyAlignment="1">
      <alignment horizontal="center" vertical="justify"/>
    </xf>
    <xf numFmtId="0" fontId="8" fillId="0" borderId="0" xfId="0" applyFont="1" applyBorder="1" applyAlignment="1">
      <alignment horizontal="center" vertical="justify"/>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1" xfId="0" applyFont="1" applyBorder="1" applyAlignment="1">
      <alignment horizontal="center" vertical="justify"/>
    </xf>
    <xf numFmtId="0" fontId="8" fillId="0" borderId="8" xfId="0" applyFont="1" applyBorder="1" applyAlignment="1">
      <alignment horizontal="center" vertical="justify"/>
    </xf>
    <xf numFmtId="0" fontId="8" fillId="0" borderId="71"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71" xfId="0" applyFont="1" applyFill="1" applyBorder="1" applyAlignment="1">
      <alignment horizontal="center" vertical="justify"/>
    </xf>
    <xf numFmtId="0" fontId="8" fillId="0" borderId="8" xfId="0" applyFont="1" applyFill="1" applyBorder="1" applyAlignment="1">
      <alignment horizontal="center" vertical="justify"/>
    </xf>
    <xf numFmtId="0" fontId="8" fillId="0" borderId="66" xfId="0" applyFont="1" applyFill="1" applyBorder="1" applyAlignment="1">
      <alignment horizontal="center" vertical="justify"/>
    </xf>
    <xf numFmtId="0" fontId="8" fillId="0" borderId="29" xfId="0" applyFont="1" applyFill="1" applyBorder="1" applyAlignment="1">
      <alignment horizontal="center" vertical="justify"/>
    </xf>
    <xf numFmtId="0" fontId="8" fillId="0" borderId="66" xfId="0" applyFont="1" applyFill="1" applyBorder="1" applyAlignment="1">
      <alignment horizontal="center" vertical="center" wrapText="1"/>
    </xf>
    <xf numFmtId="0" fontId="18" fillId="0" borderId="0" xfId="0" applyFont="1" applyBorder="1" applyAlignment="1">
      <alignment horizontal="left" vertical="center"/>
    </xf>
    <xf numFmtId="0" fontId="8" fillId="0" borderId="71" xfId="0" applyFont="1" applyFill="1" applyBorder="1" applyAlignment="1">
      <alignment horizontal="center" vertical="center" wrapText="1"/>
    </xf>
    <xf numFmtId="0" fontId="8" fillId="0" borderId="10" xfId="0" applyFont="1" applyFill="1" applyBorder="1" applyAlignment="1">
      <alignment horizontal="center" vertical="center" wrapText="1"/>
    </xf>
    <xf numFmtId="165" fontId="38" fillId="0" borderId="0" xfId="0" applyNumberFormat="1" applyFont="1" applyAlignment="1">
      <alignment horizontal="left" vertical="center" wrapText="1"/>
    </xf>
    <xf numFmtId="165" fontId="37" fillId="0" borderId="0" xfId="0" applyNumberFormat="1" applyFont="1" applyAlignment="1">
      <alignment horizontal="lef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2" fontId="8"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0" fontId="8" fillId="0" borderId="66"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0"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21" xfId="0" applyFont="1" applyFill="1" applyBorder="1" applyAlignment="1">
      <alignment horizontal="center" vertical="center"/>
    </xf>
    <xf numFmtId="4" fontId="10" fillId="0" borderId="55" xfId="0" applyNumberFormat="1" applyFont="1" applyFill="1" applyBorder="1" applyAlignment="1">
      <alignment horizontal="center" vertical="center" wrapText="1"/>
    </xf>
    <xf numFmtId="0" fontId="15" fillId="0" borderId="57" xfId="0" applyFont="1" applyBorder="1" applyAlignment="1">
      <alignment horizontal="center" vertical="center" wrapText="1"/>
    </xf>
    <xf numFmtId="0" fontId="15" fillId="0" borderId="59" xfId="0" applyFont="1" applyBorder="1" applyAlignment="1">
      <alignment horizontal="center" vertical="center" wrapText="1"/>
    </xf>
    <xf numFmtId="4" fontId="10" fillId="0" borderId="58" xfId="0" applyNumberFormat="1" applyFont="1" applyFill="1" applyBorder="1" applyAlignment="1">
      <alignment horizontal="center" vertical="center" wrapText="1"/>
    </xf>
    <xf numFmtId="0" fontId="15" fillId="0" borderId="30" xfId="0" applyFont="1" applyBorder="1" applyAlignment="1">
      <alignment horizontal="center"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2" fontId="10" fillId="0" borderId="13" xfId="0" applyNumberFormat="1" applyFont="1" applyFill="1" applyBorder="1" applyAlignment="1">
      <alignment horizontal="center" vertical="center" wrapText="1"/>
    </xf>
    <xf numFmtId="0" fontId="15" fillId="0" borderId="5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0" xfId="0" applyFont="1" applyBorder="1" applyAlignment="1">
      <alignment horizontal="center" vertical="center" wrapText="1"/>
    </xf>
    <xf numFmtId="4" fontId="10" fillId="0" borderId="57" xfId="0" applyNumberFormat="1" applyFont="1" applyFill="1" applyBorder="1" applyAlignment="1">
      <alignment horizontal="center" vertical="center" wrapText="1"/>
    </xf>
    <xf numFmtId="0" fontId="10" fillId="0" borderId="55" xfId="0" applyFont="1" applyFill="1" applyBorder="1" applyAlignment="1">
      <alignment horizontal="center" vertical="center"/>
    </xf>
    <xf numFmtId="0" fontId="10" fillId="0" borderId="57" xfId="0" applyFont="1" applyFill="1" applyBorder="1" applyAlignment="1">
      <alignment horizontal="center" vertical="center"/>
    </xf>
    <xf numFmtId="0" fontId="29" fillId="0" borderId="0" xfId="2" applyFont="1" applyAlignment="1">
      <alignment horizontal="center"/>
    </xf>
    <xf numFmtId="0" fontId="30" fillId="0" borderId="0" xfId="2" applyFont="1" applyAlignment="1">
      <alignment horizontal="center"/>
    </xf>
    <xf numFmtId="0" fontId="31" fillId="0" borderId="0" xfId="2" applyFont="1" applyAlignment="1">
      <alignment horizontal="center"/>
    </xf>
    <xf numFmtId="0" fontId="42" fillId="0" borderId="0" xfId="3" applyFont="1" applyAlignment="1">
      <alignment vertical="justify" wrapText="1"/>
    </xf>
    <xf numFmtId="0" fontId="37" fillId="0" borderId="0" xfId="0" applyFont="1" applyAlignment="1">
      <alignment vertical="justify" wrapText="1"/>
    </xf>
    <xf numFmtId="0" fontId="7" fillId="0" borderId="60" xfId="0" applyFont="1" applyFill="1" applyBorder="1" applyAlignment="1">
      <alignment horizontal="left"/>
    </xf>
    <xf numFmtId="0" fontId="7" fillId="0" borderId="2" xfId="0" applyFont="1" applyFill="1" applyBorder="1" applyAlignment="1">
      <alignment horizontal="left"/>
    </xf>
    <xf numFmtId="0" fontId="7" fillId="0" borderId="3" xfId="0" applyFont="1" applyFill="1" applyBorder="1" applyAlignment="1">
      <alignment horizontal="left"/>
    </xf>
    <xf numFmtId="0" fontId="8" fillId="0" borderId="62" xfId="0" applyFont="1" applyFill="1" applyBorder="1" applyAlignment="1">
      <alignment horizontal="left"/>
    </xf>
    <xf numFmtId="0" fontId="8" fillId="0" borderId="68" xfId="0" applyFont="1" applyFill="1" applyBorder="1" applyAlignment="1">
      <alignment horizontal="left"/>
    </xf>
    <xf numFmtId="0" fontId="8" fillId="0" borderId="65" xfId="0" applyFont="1" applyFill="1" applyBorder="1" applyAlignment="1">
      <alignment horizontal="left"/>
    </xf>
    <xf numFmtId="4" fontId="8" fillId="14" borderId="33" xfId="0" applyNumberFormat="1" applyFont="1" applyFill="1" applyBorder="1" applyAlignment="1">
      <alignment horizontal="right"/>
    </xf>
    <xf numFmtId="4" fontId="8" fillId="14" borderId="68" xfId="0" applyNumberFormat="1" applyFont="1" applyFill="1" applyBorder="1" applyAlignment="1">
      <alignment horizontal="right"/>
    </xf>
    <xf numFmtId="4" fontId="8" fillId="14" borderId="35" xfId="0" applyNumberFormat="1" applyFont="1" applyFill="1" applyBorder="1" applyAlignment="1">
      <alignment horizontal="right"/>
    </xf>
    <xf numFmtId="0" fontId="7" fillId="0" borderId="15" xfId="0" applyFont="1" applyFill="1" applyBorder="1" applyAlignment="1">
      <alignment horizontal="left"/>
    </xf>
    <xf numFmtId="0" fontId="7" fillId="0" borderId="17" xfId="0" applyFont="1" applyFill="1" applyBorder="1" applyAlignment="1">
      <alignment horizontal="left"/>
    </xf>
    <xf numFmtId="0" fontId="7" fillId="0" borderId="18" xfId="0" applyFont="1" applyFill="1" applyBorder="1" applyAlignment="1">
      <alignment horizontal="left"/>
    </xf>
    <xf numFmtId="4" fontId="7" fillId="14" borderId="19" xfId="0" applyNumberFormat="1" applyFont="1" applyFill="1" applyBorder="1" applyAlignment="1">
      <alignment horizontal="right"/>
    </xf>
    <xf numFmtId="4" fontId="7" fillId="14" borderId="17" xfId="0" applyNumberFormat="1" applyFont="1" applyFill="1" applyBorder="1" applyAlignment="1">
      <alignment horizontal="right"/>
    </xf>
    <xf numFmtId="4" fontId="7" fillId="14" borderId="16" xfId="0" applyNumberFormat="1" applyFont="1" applyFill="1" applyBorder="1" applyAlignment="1">
      <alignment horizontal="right"/>
    </xf>
    <xf numFmtId="4" fontId="7" fillId="14" borderId="1" xfId="0" applyNumberFormat="1" applyFont="1" applyFill="1" applyBorder="1" applyAlignment="1">
      <alignment horizontal="right"/>
    </xf>
    <xf numFmtId="4" fontId="7" fillId="14" borderId="2" xfId="0" applyNumberFormat="1" applyFont="1" applyFill="1" applyBorder="1" applyAlignment="1">
      <alignment horizontal="right"/>
    </xf>
    <xf numFmtId="4" fontId="7" fillId="14" borderId="80" xfId="0" applyNumberFormat="1" applyFont="1" applyFill="1" applyBorder="1" applyAlignment="1">
      <alignment horizontal="right"/>
    </xf>
    <xf numFmtId="0" fontId="7" fillId="0" borderId="46" xfId="0" applyFont="1" applyFill="1" applyBorder="1" applyAlignment="1">
      <alignment horizontal="left"/>
    </xf>
    <xf numFmtId="0" fontId="7" fillId="0" borderId="4" xfId="0" applyFont="1" applyFill="1" applyBorder="1" applyAlignment="1">
      <alignment horizontal="left"/>
    </xf>
    <xf numFmtId="4" fontId="7" fillId="14" borderId="4" xfId="0" applyNumberFormat="1" applyFont="1" applyFill="1" applyBorder="1" applyAlignment="1">
      <alignment horizontal="right"/>
    </xf>
    <xf numFmtId="4" fontId="7" fillId="14" borderId="47" xfId="0" applyNumberFormat="1" applyFont="1" applyFill="1" applyBorder="1" applyAlignment="1">
      <alignment horizontal="right"/>
    </xf>
    <xf numFmtId="0" fontId="7" fillId="0" borderId="74" xfId="0" applyFont="1" applyFill="1" applyBorder="1" applyAlignment="1">
      <alignment horizontal="left"/>
    </xf>
    <xf numFmtId="0" fontId="7" fillId="0" borderId="75" xfId="0" applyFont="1" applyFill="1" applyBorder="1" applyAlignment="1">
      <alignment horizontal="left"/>
    </xf>
    <xf numFmtId="4" fontId="7" fillId="14" borderId="75" xfId="0" applyNumberFormat="1" applyFont="1" applyFill="1" applyBorder="1" applyAlignment="1">
      <alignment horizontal="right"/>
    </xf>
    <xf numFmtId="4" fontId="7" fillId="14" borderId="76" xfId="0" applyNumberFormat="1" applyFont="1" applyFill="1" applyBorder="1" applyAlignment="1">
      <alignment horizontal="right"/>
    </xf>
    <xf numFmtId="0" fontId="7" fillId="0" borderId="31" xfId="0" applyFont="1" applyFill="1" applyBorder="1" applyAlignment="1">
      <alignment horizontal="left"/>
    </xf>
    <xf numFmtId="0" fontId="7" fillId="0" borderId="22" xfId="0" applyFont="1" applyFill="1" applyBorder="1" applyAlignment="1">
      <alignment horizontal="left"/>
    </xf>
    <xf numFmtId="0" fontId="7" fillId="0" borderId="40" xfId="0" applyFont="1" applyFill="1" applyBorder="1" applyAlignment="1">
      <alignment horizontal="left"/>
    </xf>
    <xf numFmtId="0" fontId="7" fillId="0" borderId="31" xfId="0" applyFont="1" applyFill="1" applyBorder="1" applyAlignment="1">
      <alignment horizontal="right"/>
    </xf>
    <xf numFmtId="0" fontId="7" fillId="0" borderId="22" xfId="0" applyFont="1" applyFill="1" applyBorder="1" applyAlignment="1">
      <alignment horizontal="right"/>
    </xf>
    <xf numFmtId="0" fontId="8" fillId="0" borderId="63" xfId="0" applyFont="1" applyFill="1" applyBorder="1" applyAlignment="1">
      <alignment horizontal="left"/>
    </xf>
    <xf numFmtId="0" fontId="8" fillId="0" borderId="32" xfId="0" applyFont="1" applyFill="1" applyBorder="1" applyAlignment="1">
      <alignment horizontal="left"/>
    </xf>
    <xf numFmtId="4" fontId="8" fillId="14" borderId="32" xfId="0" applyNumberFormat="1" applyFont="1" applyFill="1" applyBorder="1" applyAlignment="1">
      <alignment horizontal="right"/>
    </xf>
    <xf numFmtId="0" fontId="8" fillId="14" borderId="64" xfId="0" applyFont="1" applyFill="1" applyBorder="1" applyAlignment="1">
      <alignment horizontal="right"/>
    </xf>
    <xf numFmtId="0" fontId="8" fillId="8" borderId="20" xfId="0" applyFont="1" applyFill="1" applyBorder="1" applyAlignment="1">
      <alignment horizontal="center"/>
    </xf>
    <xf numFmtId="0" fontId="8" fillId="8" borderId="56" xfId="0" applyFont="1" applyFill="1" applyBorder="1" applyAlignment="1">
      <alignment horizontal="center"/>
    </xf>
    <xf numFmtId="0" fontId="7" fillId="0" borderId="13" xfId="0" applyFont="1" applyFill="1" applyBorder="1" applyAlignment="1">
      <alignment horizontal="left"/>
    </xf>
    <xf numFmtId="0" fontId="7" fillId="0" borderId="14" xfId="0" applyFont="1" applyFill="1" applyBorder="1" applyAlignment="1">
      <alignment horizontal="left"/>
    </xf>
    <xf numFmtId="0" fontId="7" fillId="0" borderId="58" xfId="0" applyFont="1" applyFill="1" applyBorder="1" applyAlignment="1">
      <alignment horizontal="left"/>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69" xfId="0" applyFont="1" applyFill="1" applyBorder="1" applyAlignment="1">
      <alignment horizontal="left"/>
    </xf>
    <xf numFmtId="0" fontId="8" fillId="0" borderId="0" xfId="0" applyFont="1" applyFill="1" applyBorder="1" applyAlignment="1">
      <alignment horizontal="left"/>
    </xf>
    <xf numFmtId="0" fontId="8" fillId="0" borderId="9" xfId="0" applyFont="1" applyFill="1" applyBorder="1" applyAlignment="1">
      <alignment horizontal="left"/>
    </xf>
    <xf numFmtId="0" fontId="12" fillId="0" borderId="0" xfId="0" applyFont="1" applyFill="1" applyBorder="1" applyAlignment="1">
      <alignment horizontal="left"/>
    </xf>
    <xf numFmtId="0" fontId="8" fillId="0" borderId="4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8" fillId="0" borderId="42"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4" xfId="0" applyFont="1" applyBorder="1" applyAlignment="1">
      <alignment horizontal="center" vertical="center"/>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0" fontId="7" fillId="0" borderId="39" xfId="0" applyFont="1" applyFill="1" applyBorder="1" applyAlignment="1">
      <alignment horizontal="left"/>
    </xf>
    <xf numFmtId="0" fontId="7" fillId="0" borderId="38" xfId="0" applyFont="1" applyFill="1" applyBorder="1" applyAlignment="1">
      <alignment horizontal="left"/>
    </xf>
    <xf numFmtId="0" fontId="7" fillId="0" borderId="69" xfId="0" applyFont="1" applyFill="1" applyBorder="1" applyAlignment="1">
      <alignment horizontal="left"/>
    </xf>
    <xf numFmtId="0" fontId="7" fillId="0" borderId="9" xfId="0" applyFont="1" applyFill="1" applyBorder="1" applyAlignment="1">
      <alignment horizontal="lef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62" xfId="0" applyFont="1" applyBorder="1" applyAlignment="1">
      <alignment horizontal="center"/>
    </xf>
    <xf numFmtId="0" fontId="8" fillId="0" borderId="68" xfId="0" applyFont="1" applyBorder="1" applyAlignment="1">
      <alignment horizontal="center"/>
    </xf>
    <xf numFmtId="0" fontId="8" fillId="0" borderId="65" xfId="0" applyFont="1" applyBorder="1" applyAlignment="1">
      <alignment horizontal="center"/>
    </xf>
    <xf numFmtId="0" fontId="8" fillId="0" borderId="23" xfId="0" applyFont="1" applyFill="1" applyBorder="1" applyAlignment="1">
      <alignment horizontal="left"/>
    </xf>
    <xf numFmtId="0" fontId="8" fillId="0" borderId="30" xfId="0" applyFont="1" applyFill="1" applyBorder="1" applyAlignment="1">
      <alignment horizontal="left"/>
    </xf>
    <xf numFmtId="0" fontId="8" fillId="7" borderId="20" xfId="0" applyFont="1" applyFill="1" applyBorder="1" applyAlignment="1">
      <alignment horizontal="left"/>
    </xf>
    <xf numFmtId="0" fontId="8" fillId="7" borderId="56" xfId="0" applyFont="1" applyFill="1" applyBorder="1" applyAlignment="1">
      <alignment horizontal="left"/>
    </xf>
    <xf numFmtId="0" fontId="8" fillId="7" borderId="21" xfId="0" applyFont="1" applyFill="1" applyBorder="1" applyAlignment="1">
      <alignment horizontal="left"/>
    </xf>
    <xf numFmtId="4" fontId="8" fillId="7" borderId="20" xfId="0" applyNumberFormat="1" applyFont="1" applyFill="1" applyBorder="1" applyAlignment="1">
      <alignment horizontal="right"/>
    </xf>
    <xf numFmtId="4" fontId="8" fillId="7" borderId="56" xfId="0" applyNumberFormat="1" applyFont="1" applyFill="1" applyBorder="1" applyAlignment="1">
      <alignment horizontal="right"/>
    </xf>
    <xf numFmtId="0" fontId="8" fillId="7" borderId="21" xfId="0" applyFont="1" applyFill="1" applyBorder="1" applyAlignment="1">
      <alignment horizontal="right"/>
    </xf>
    <xf numFmtId="4" fontId="7" fillId="0" borderId="30" xfId="0" applyNumberFormat="1" applyFont="1" applyFill="1" applyBorder="1" applyAlignment="1">
      <alignment horizontal="right"/>
    </xf>
    <xf numFmtId="0" fontId="7" fillId="0" borderId="30" xfId="0"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0" xfId="0" applyNumberFormat="1" applyFont="1" applyFill="1" applyBorder="1" applyAlignment="1">
      <alignment horizontal="right"/>
    </xf>
    <xf numFmtId="4" fontId="7" fillId="0" borderId="56" xfId="0" applyNumberFormat="1" applyFont="1" applyFill="1" applyBorder="1" applyAlignment="1">
      <alignment horizontal="right"/>
    </xf>
    <xf numFmtId="4" fontId="7" fillId="0" borderId="21" xfId="0" applyNumberFormat="1" applyFont="1" applyFill="1" applyBorder="1" applyAlignment="1">
      <alignment horizontal="right"/>
    </xf>
    <xf numFmtId="4" fontId="51" fillId="18" borderId="69" xfId="0" applyNumberFormat="1" applyFont="1" applyFill="1" applyBorder="1" applyAlignment="1">
      <alignment horizontal="right"/>
    </xf>
    <xf numFmtId="0" fontId="51" fillId="18" borderId="0" xfId="0" applyFont="1" applyFill="1" applyBorder="1" applyAlignment="1">
      <alignment horizontal="right"/>
    </xf>
    <xf numFmtId="0" fontId="51" fillId="18" borderId="30" xfId="0" applyFont="1" applyFill="1" applyBorder="1" applyAlignment="1">
      <alignment horizontal="right"/>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8" fillId="7" borderId="49" xfId="0" applyFont="1" applyFill="1" applyBorder="1" applyAlignment="1">
      <alignment horizontal="left"/>
    </xf>
    <xf numFmtId="4" fontId="7" fillId="0" borderId="69" xfId="0" applyNumberFormat="1" applyFont="1" applyFill="1" applyBorder="1" applyAlignment="1">
      <alignment horizontal="right"/>
    </xf>
    <xf numFmtId="0" fontId="4" fillId="0" borderId="0" xfId="0" applyFont="1" applyAlignment="1">
      <alignment horizontal="center"/>
    </xf>
    <xf numFmtId="0" fontId="7" fillId="0" borderId="0" xfId="0" applyFont="1" applyFill="1" applyBorder="1" applyAlignment="1">
      <alignment horizontal="justify" vertical="justify"/>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8" fillId="0" borderId="1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76" xfId="0" applyFont="1" applyFill="1" applyBorder="1" applyAlignment="1">
      <alignment horizontal="center"/>
    </xf>
    <xf numFmtId="0" fontId="29" fillId="0" borderId="0" xfId="4" applyFont="1" applyAlignment="1">
      <alignment horizontal="center"/>
    </xf>
    <xf numFmtId="0" fontId="30" fillId="0" borderId="0" xfId="4" applyFont="1" applyAlignment="1">
      <alignment horizontal="center"/>
    </xf>
    <xf numFmtId="0" fontId="31" fillId="0" borderId="0" xfId="4" applyFont="1" applyAlignment="1">
      <alignment horizontal="center"/>
    </xf>
    <xf numFmtId="0" fontId="33" fillId="9" borderId="1" xfId="4" applyFont="1" applyFill="1" applyBorder="1" applyAlignment="1">
      <alignment horizontal="left"/>
    </xf>
    <xf numFmtId="0" fontId="33" fillId="9" borderId="3" xfId="4" applyFont="1" applyFill="1" applyBorder="1" applyAlignment="1">
      <alignment horizontal="left"/>
    </xf>
    <xf numFmtId="0" fontId="47" fillId="15" borderId="4" xfId="0" applyFont="1" applyFill="1" applyBorder="1" applyAlignment="1">
      <alignment horizontal="center" vertical="center"/>
    </xf>
    <xf numFmtId="0" fontId="0" fillId="0" borderId="0" xfId="0" applyAlignment="1">
      <alignment horizontal="center"/>
    </xf>
    <xf numFmtId="0" fontId="47" fillId="0" borderId="0" xfId="0" applyFont="1" applyAlignment="1">
      <alignment horizontal="center" vertical="center"/>
    </xf>
    <xf numFmtId="0" fontId="48" fillId="15" borderId="5" xfId="0" applyFont="1" applyFill="1" applyBorder="1" applyAlignment="1">
      <alignment horizontal="center" vertical="center"/>
    </xf>
    <xf numFmtId="0" fontId="48" fillId="15" borderId="8" xfId="0" applyFont="1" applyFill="1" applyBorder="1" applyAlignment="1">
      <alignment horizontal="center" vertical="center"/>
    </xf>
    <xf numFmtId="0" fontId="48" fillId="15" borderId="10" xfId="0" applyFont="1" applyFill="1" applyBorder="1" applyAlignment="1">
      <alignment horizontal="center" vertical="center"/>
    </xf>
    <xf numFmtId="0" fontId="48" fillId="15" borderId="1" xfId="0" applyFont="1" applyFill="1" applyBorder="1" applyAlignment="1">
      <alignment horizontal="center"/>
    </xf>
    <xf numFmtId="0" fontId="48" fillId="15" borderId="3" xfId="0" applyFont="1" applyFill="1" applyBorder="1" applyAlignment="1">
      <alignment horizontal="center"/>
    </xf>
    <xf numFmtId="0" fontId="48" fillId="16" borderId="5" xfId="0" applyFont="1" applyFill="1" applyBorder="1" applyAlignment="1">
      <alignment horizontal="center" vertical="center" wrapText="1"/>
    </xf>
    <xf numFmtId="0" fontId="48" fillId="16" borderId="8" xfId="0" applyFont="1" applyFill="1" applyBorder="1" applyAlignment="1">
      <alignment horizontal="center" vertical="center" wrapText="1"/>
    </xf>
    <xf numFmtId="0" fontId="48" fillId="16" borderId="10" xfId="0" applyFont="1" applyFill="1" applyBorder="1" applyAlignment="1">
      <alignment horizontal="center" vertical="center" wrapText="1"/>
    </xf>
    <xf numFmtId="0" fontId="47" fillId="15" borderId="5" xfId="0" applyFont="1" applyFill="1" applyBorder="1" applyAlignment="1">
      <alignment horizontal="center" vertical="center"/>
    </xf>
    <xf numFmtId="0" fontId="47" fillId="15" borderId="8" xfId="0" applyFont="1" applyFill="1" applyBorder="1" applyAlignment="1">
      <alignment horizontal="center" vertical="center"/>
    </xf>
    <xf numFmtId="0" fontId="47" fillId="15" borderId="10" xfId="0" applyFont="1" applyFill="1" applyBorder="1" applyAlignment="1">
      <alignment horizontal="center" vertical="center"/>
    </xf>
    <xf numFmtId="0" fontId="28" fillId="0" borderId="0" xfId="4" applyAlignment="1">
      <alignment horizontal="center"/>
    </xf>
    <xf numFmtId="0" fontId="30" fillId="10" borderId="20" xfId="4" applyFont="1" applyFill="1" applyBorder="1" applyAlignment="1">
      <alignment horizontal="center"/>
    </xf>
    <xf numFmtId="0" fontId="30" fillId="10" borderId="56" xfId="4" applyFont="1" applyFill="1" applyBorder="1" applyAlignment="1">
      <alignment horizontal="center"/>
    </xf>
    <xf numFmtId="0" fontId="30" fillId="10" borderId="21" xfId="4" applyFont="1" applyFill="1" applyBorder="1" applyAlignment="1">
      <alignment horizontal="center"/>
    </xf>
    <xf numFmtId="0" fontId="28" fillId="0" borderId="22" xfId="4" applyBorder="1" applyAlignment="1">
      <alignment horizontal="center"/>
    </xf>
    <xf numFmtId="0" fontId="30" fillId="10" borderId="0" xfId="4" applyFont="1" applyFill="1" applyAlignment="1">
      <alignment horizontal="center"/>
    </xf>
    <xf numFmtId="0" fontId="28" fillId="0" borderId="0" xfId="4" applyFill="1" applyBorder="1" applyAlignment="1">
      <alignment horizontal="center"/>
    </xf>
    <xf numFmtId="0" fontId="30" fillId="19" borderId="0" xfId="4" applyFont="1" applyFill="1" applyAlignment="1">
      <alignment horizontal="center"/>
    </xf>
    <xf numFmtId="0" fontId="28" fillId="0" borderId="0" xfId="4" applyBorder="1" applyAlignment="1">
      <alignment horizontal="center"/>
    </xf>
    <xf numFmtId="0" fontId="30" fillId="11" borderId="0" xfId="4" applyFont="1" applyFill="1" applyAlignment="1">
      <alignment horizontal="center"/>
    </xf>
    <xf numFmtId="0" fontId="28" fillId="0" borderId="22" xfId="4" applyFont="1" applyBorder="1" applyAlignment="1">
      <alignment horizontal="center"/>
    </xf>
    <xf numFmtId="0" fontId="45" fillId="12" borderId="0" xfId="4" applyFont="1" applyFill="1" applyAlignment="1">
      <alignment horizontal="center" vertical="center"/>
    </xf>
    <xf numFmtId="0" fontId="30" fillId="6" borderId="0" xfId="4" applyFont="1" applyFill="1" applyAlignment="1">
      <alignment horizontal="center"/>
    </xf>
    <xf numFmtId="0" fontId="53" fillId="20" borderId="0" xfId="4" applyFont="1" applyFill="1" applyAlignment="1">
      <alignment horizontal="center"/>
    </xf>
    <xf numFmtId="0" fontId="8" fillId="0" borderId="19" xfId="0" applyFont="1" applyFill="1" applyBorder="1" applyAlignment="1">
      <alignment horizont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4" fontId="7" fillId="0" borderId="4" xfId="0" applyNumberFormat="1" applyFont="1" applyBorder="1" applyAlignment="1">
      <alignment horizontal="center" vertical="center"/>
    </xf>
    <xf numFmtId="0" fontId="8" fillId="0" borderId="4" xfId="0" applyFont="1" applyBorder="1" applyAlignment="1">
      <alignment horizontal="center"/>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5" xfId="0" applyFont="1" applyBorder="1" applyAlignment="1">
      <alignment horizontal="center" wrapText="1"/>
    </xf>
    <xf numFmtId="0" fontId="8" fillId="0" borderId="4" xfId="0" applyFont="1" applyBorder="1" applyAlignment="1">
      <alignment horizontal="center" wrapText="1"/>
    </xf>
  </cellXfs>
  <cellStyles count="8">
    <cellStyle name="Moneda" xfId="1" builtinId="4"/>
    <cellStyle name="Moneda 2" xfId="6"/>
    <cellStyle name="Normal" xfId="0" builtinId="0"/>
    <cellStyle name="Normal 2" xfId="4"/>
    <cellStyle name="Normal 2 2" xfId="5"/>
    <cellStyle name="Normal 3" xfId="2"/>
    <cellStyle name="Normal 3 2" xfId="3"/>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externalLink" Target="externalLinks/externalLink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6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5" cy="61912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628650</xdr:colOff>
      <xdr:row>3</xdr:row>
      <xdr:rowOff>95250</xdr:rowOff>
    </xdr:to>
    <xdr:pic>
      <xdr:nvPicPr>
        <xdr:cNvPr id="2" name="Imagen 1"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2402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s\CP.LIBIA%20ESTRADA\Desktop\2020\factores%202020\formulas%20coeficiente%20202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uarios\CP.LIBIA%20ESTRADA\Downloads\ESTIMACION%20DE%20PARTICIPACIONES%202017%20POE%20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RECAUDACION%20FEDERAL\Presupuesto%202020\Publicacion\CALCULO%20DEL%20COEFICIENTE%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22\Distribuci&#243;n%20y%20Calendarizaci&#243;n%20para%20la%20Ministraci&#243;n%20durante%20el%20Ejercicio%20Fiscal%20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 val="Hoja1"/>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20"/>
      <sheetName val="Consolidado"/>
      <sheetName val="FGP"/>
      <sheetName val="FFM"/>
      <sheetName val="FOCO"/>
      <sheetName val="IEPS TyA"/>
      <sheetName val="IEPS GyD "/>
      <sheetName val="FOFIR"/>
      <sheetName val="FOCO ISAN"/>
      <sheetName val="Incentivo ISAN"/>
      <sheetName val="Predial y Agua"/>
      <sheetName val="CENSO 2015"/>
      <sheetName val="IEPS 2014 "/>
      <sheetName val="F.G.P. 2020"/>
      <sheetName val="F.F.M.2020"/>
      <sheetName val="FOCO 2020"/>
      <sheetName val="IEPS2020"/>
      <sheetName val="IEPSGAS 2020"/>
      <sheetName val="FOFIR 2020"/>
      <sheetName val="FOCO ISAN "/>
      <sheetName val="ISAN Recaudacion"/>
      <sheetName val=" FOCO INCREMENTO"/>
      <sheetName val=" FOCO ESTIMACION"/>
      <sheetName val="FOFIR  INCREMENTO"/>
      <sheetName val="FFOR ESTIMACIONES"/>
      <sheetName val="IEPSGASINCREMENTO"/>
      <sheetName val="IEPSGAS ESTIMACIONES"/>
      <sheetName val="IEPS INCREMENTO"/>
      <sheetName val="IEPS ESTIMACIONES"/>
      <sheetName val="F.F.M30%"/>
      <sheetName val="F.F.M.70%"/>
      <sheetName val="F.F.M.ESTIIMACIONES 2014"/>
      <sheetName val="F.G.P.INCREMENTO"/>
      <sheetName val="F.G.P. ESTIMACIONES 2014"/>
      <sheetName val="Datos"/>
      <sheetName val="FGP 30%"/>
      <sheetName val="FG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71921.637981858948</v>
          </cell>
          <cell r="D7">
            <v>72714.40462331436</v>
          </cell>
          <cell r="E7">
            <v>34643.126341425232</v>
          </cell>
          <cell r="F7">
            <v>62668.386484099698</v>
          </cell>
          <cell r="G7">
            <v>43544.749119533568</v>
          </cell>
          <cell r="H7">
            <v>62200.112577045591</v>
          </cell>
          <cell r="I7">
            <v>41862.518405549519</v>
          </cell>
          <cell r="J7">
            <v>47840.912596100716</v>
          </cell>
          <cell r="K7">
            <v>51668.483252273618</v>
          </cell>
          <cell r="L7">
            <v>30189.389735093839</v>
          </cell>
          <cell r="M7">
            <v>44986.273443360027</v>
          </cell>
          <cell r="N7">
            <v>88831.860683975567</v>
          </cell>
        </row>
        <row r="8">
          <cell r="C8">
            <v>73311.131192327855</v>
          </cell>
          <cell r="D8">
            <v>74119.213723363922</v>
          </cell>
          <cell r="E8">
            <v>35312.415726254992</v>
          </cell>
          <cell r="F8">
            <v>63879.111100141701</v>
          </cell>
          <cell r="G8">
            <v>44386.013792460319</v>
          </cell>
          <cell r="H8">
            <v>63401.790354990626</v>
          </cell>
          <cell r="I8">
            <v>42671.283149093222</v>
          </cell>
          <cell r="J8">
            <v>48765.177186010173</v>
          </cell>
          <cell r="K8">
            <v>52666.69475980867</v>
          </cell>
          <cell r="L8">
            <v>30772.634962012806</v>
          </cell>
          <cell r="M8">
            <v>45855.387708104856</v>
          </cell>
          <cell r="N8">
            <v>90548.051676800824</v>
          </cell>
        </row>
        <row r="9">
          <cell r="C9">
            <v>85878.521441046003</v>
          </cell>
          <cell r="D9">
            <v>86825.129846059644</v>
          </cell>
          <cell r="E9">
            <v>41365.860842148402</v>
          </cell>
          <cell r="F9">
            <v>74829.613498346647</v>
          </cell>
          <cell r="G9">
            <v>51994.904118425045</v>
          </cell>
          <cell r="H9">
            <v>74270.467851839378</v>
          </cell>
          <cell r="I9">
            <v>49986.225082554018</v>
          </cell>
          <cell r="J9">
            <v>57124.767363887717</v>
          </cell>
          <cell r="K9">
            <v>61695.104162198317</v>
          </cell>
          <cell r="L9">
            <v>36047.846328406704</v>
          </cell>
          <cell r="M9">
            <v>53716.166050512089</v>
          </cell>
          <cell r="N9">
            <v>106070.28797538001</v>
          </cell>
        </row>
        <row r="10">
          <cell r="C10">
            <v>205489.76872183758</v>
          </cell>
          <cell r="D10">
            <v>207754.80937405623</v>
          </cell>
          <cell r="E10">
            <v>98980.059679626225</v>
          </cell>
          <cell r="F10">
            <v>179051.98777642648</v>
          </cell>
          <cell r="G10">
            <v>124413.19019848215</v>
          </cell>
          <cell r="H10">
            <v>177714.0664003409</v>
          </cell>
          <cell r="I10">
            <v>119606.8313605404</v>
          </cell>
          <cell r="J10">
            <v>136687.90562436922</v>
          </cell>
          <cell r="K10">
            <v>147623.78849597246</v>
          </cell>
          <cell r="L10">
            <v>86255.136681990058</v>
          </cell>
          <cell r="M10">
            <v>128531.81858657196</v>
          </cell>
          <cell r="N10">
            <v>253804.54365743059</v>
          </cell>
        </row>
        <row r="11">
          <cell r="C11">
            <v>111507.25115785327</v>
          </cell>
          <cell r="D11">
            <v>112736.35593742788</v>
          </cell>
          <cell r="E11">
            <v>53710.675927888537</v>
          </cell>
          <cell r="F11">
            <v>97161.017288045157</v>
          </cell>
          <cell r="G11">
            <v>67511.744906342006</v>
          </cell>
          <cell r="H11">
            <v>96435.005789562303</v>
          </cell>
          <cell r="I11">
            <v>64903.615725844356</v>
          </cell>
          <cell r="J11">
            <v>74172.513393255533</v>
          </cell>
          <cell r="K11">
            <v>80106.775938693594</v>
          </cell>
          <cell r="L11">
            <v>46805.606184087868</v>
          </cell>
          <cell r="M11">
            <v>69746.683088195103</v>
          </cell>
          <cell r="N11">
            <v>137724.84718167805</v>
          </cell>
        </row>
        <row r="12">
          <cell r="C12">
            <v>76122.317048695186</v>
          </cell>
          <cell r="D12">
            <v>76961.386281819723</v>
          </cell>
          <cell r="E12">
            <v>36666.504280466252</v>
          </cell>
          <cell r="F12">
            <v>66328.617071764587</v>
          </cell>
          <cell r="G12">
            <v>46088.038194000961</v>
          </cell>
          <cell r="H12">
            <v>65832.99300342238</v>
          </cell>
          <cell r="I12">
            <v>44307.554554414681</v>
          </cell>
          <cell r="J12">
            <v>50635.124820959565</v>
          </cell>
          <cell r="K12">
            <v>54686.249839677403</v>
          </cell>
          <cell r="L12">
            <v>31952.641255210176</v>
          </cell>
          <cell r="M12">
            <v>47613.756666088615</v>
          </cell>
          <cell r="N12">
            <v>94020.203832353407</v>
          </cell>
        </row>
        <row r="13">
          <cell r="C13">
            <v>82653.323596917879</v>
          </cell>
          <cell r="D13">
            <v>83564.381792917033</v>
          </cell>
          <cell r="E13">
            <v>39812.351501629695</v>
          </cell>
          <cell r="F13">
            <v>72019.361248050467</v>
          </cell>
          <cell r="G13">
            <v>50042.217348153725</v>
          </cell>
          <cell r="H13">
            <v>71481.214511438346</v>
          </cell>
          <cell r="I13">
            <v>48108.974954499266</v>
          </cell>
          <cell r="J13">
            <v>54979.426789122379</v>
          </cell>
          <cell r="K13">
            <v>59378.12299393522</v>
          </cell>
          <cell r="L13">
            <v>34694.056878926604</v>
          </cell>
          <cell r="M13">
            <v>51698.836687664727</v>
          </cell>
          <cell r="N13">
            <v>102086.78129217416</v>
          </cell>
        </row>
        <row r="14">
          <cell r="C14">
            <v>67392.542637064718</v>
          </cell>
          <cell r="D14">
            <v>68135.386670997919</v>
          </cell>
          <cell r="E14">
            <v>32461.557252555991</v>
          </cell>
          <cell r="F14">
            <v>58721.992805433852</v>
          </cell>
          <cell r="G14">
            <v>40802.621352959941</v>
          </cell>
          <cell r="H14">
            <v>58283.207342080968</v>
          </cell>
          <cell r="I14">
            <v>39226.325146439369</v>
          </cell>
          <cell r="J14">
            <v>44828.244077839765</v>
          </cell>
          <cell r="K14">
            <v>48414.782508841214</v>
          </cell>
          <cell r="L14">
            <v>28288.284193728385</v>
          </cell>
          <cell r="M14">
            <v>42153.369085934886</v>
          </cell>
          <cell r="N14">
            <v>83237.883989580994</v>
          </cell>
        </row>
        <row r="15">
          <cell r="C15">
            <v>69443.740981893265</v>
          </cell>
          <cell r="D15">
            <v>70209.19464581291</v>
          </cell>
          <cell r="E15">
            <v>33449.575954648695</v>
          </cell>
          <cell r="F15">
            <v>60509.289288610227</v>
          </cell>
          <cell r="G15">
            <v>42044.513498721288</v>
          </cell>
          <cell r="H15">
            <v>60057.148697509576</v>
          </cell>
          <cell r="I15">
            <v>40420.240230596333</v>
          </cell>
          <cell r="J15">
            <v>46192.66240152924</v>
          </cell>
          <cell r="K15">
            <v>49888.362787332611</v>
          </cell>
          <cell r="L15">
            <v>29149.282747065394</v>
          </cell>
          <cell r="M15">
            <v>43436.373369712455</v>
          </cell>
          <cell r="N15">
            <v>85771.360294013473</v>
          </cell>
        </row>
        <row r="16">
          <cell r="C16">
            <v>77090.478176598554</v>
          </cell>
          <cell r="D16">
            <v>77940.219105575583</v>
          </cell>
          <cell r="E16">
            <v>37132.846944704143</v>
          </cell>
          <cell r="F16">
            <v>67172.217098749985</v>
          </cell>
          <cell r="G16">
            <v>46674.208567824622</v>
          </cell>
          <cell r="H16">
            <v>66670.289439350308</v>
          </cell>
          <cell r="I16">
            <v>44871.079860201171</v>
          </cell>
          <cell r="J16">
            <v>51279.127282508758</v>
          </cell>
          <cell r="K16">
            <v>55381.776504895941</v>
          </cell>
          <cell r="L16">
            <v>32359.030687330938</v>
          </cell>
          <cell r="M16">
            <v>48219.331879045792</v>
          </cell>
          <cell r="N16">
            <v>95215.9991012994</v>
          </cell>
        </row>
        <row r="17">
          <cell r="C17">
            <v>69624.767375500349</v>
          </cell>
          <cell r="D17">
            <v>70392.216428987042</v>
          </cell>
          <cell r="E17">
            <v>33536.772525817512</v>
          </cell>
          <cell r="F17">
            <v>60667.025295696898</v>
          </cell>
          <cell r="G17">
            <v>42154.115408728161</v>
          </cell>
          <cell r="H17">
            <v>60213.706061575984</v>
          </cell>
          <cell r="I17">
            <v>40525.607974531449</v>
          </cell>
          <cell r="J17">
            <v>46313.077732953265</v>
          </cell>
          <cell r="K17">
            <v>50018.412094450257</v>
          </cell>
          <cell r="L17">
            <v>29225.269286058308</v>
          </cell>
          <cell r="M17">
            <v>43549.603589042657</v>
          </cell>
          <cell r="N17">
            <v>85994.949631357027</v>
          </cell>
        </row>
        <row r="18">
          <cell r="C18">
            <v>66507.731791109924</v>
          </cell>
          <cell r="D18">
            <v>67240.822869710712</v>
          </cell>
          <cell r="E18">
            <v>32035.362649863451</v>
          </cell>
          <cell r="F18">
            <v>57951.019429193388</v>
          </cell>
          <cell r="G18">
            <v>40266.915167916413</v>
          </cell>
          <cell r="H18">
            <v>57517.994872341886</v>
          </cell>
          <cell r="I18">
            <v>38711.314485342431</v>
          </cell>
          <cell r="J18">
            <v>44239.684646586524</v>
          </cell>
          <cell r="K18">
            <v>47779.134661288343</v>
          </cell>
          <cell r="L18">
            <v>27916.881369489249</v>
          </cell>
          <cell r="M18">
            <v>41599.928650223272</v>
          </cell>
          <cell r="N18">
            <v>82145.036329196053</v>
          </cell>
        </row>
        <row r="19">
          <cell r="C19">
            <v>77421.027611018057</v>
          </cell>
          <cell r="D19">
            <v>78274.412068873367</v>
          </cell>
          <cell r="E19">
            <v>37292.065590719547</v>
          </cell>
          <cell r="F19">
            <v>67460.23889983198</v>
          </cell>
          <cell r="G19">
            <v>46874.338773382959</v>
          </cell>
          <cell r="H19">
            <v>66956.159069271118</v>
          </cell>
          <cell r="I19">
            <v>45063.478589854974</v>
          </cell>
          <cell r="J19">
            <v>51499.002511222854</v>
          </cell>
          <cell r="K19">
            <v>55619.243119889616</v>
          </cell>
          <cell r="L19">
            <v>32497.780109374446</v>
          </cell>
          <cell r="M19">
            <v>48426.087282017768</v>
          </cell>
          <cell r="N19">
            <v>95624.267351737843</v>
          </cell>
        </row>
        <row r="20">
          <cell r="C20">
            <v>120772.649929829</v>
          </cell>
          <cell r="D20">
            <v>122103.88390546081</v>
          </cell>
          <cell r="E20">
            <v>58173.621840524793</v>
          </cell>
          <cell r="F20">
            <v>105234.35387303698</v>
          </cell>
          <cell r="G20">
            <v>73121.453977760611</v>
          </cell>
          <cell r="H20">
            <v>104448.01637802352</v>
          </cell>
          <cell r="I20">
            <v>70296.609232533199</v>
          </cell>
          <cell r="J20">
            <v>80335.681325136014</v>
          </cell>
          <cell r="K20">
            <v>86763.0356500786</v>
          </cell>
          <cell r="L20">
            <v>50694.793672403823</v>
          </cell>
          <cell r="M20">
            <v>75542.098409840124</v>
          </cell>
          <cell r="N20">
            <v>149168.72743787066</v>
          </cell>
        </row>
        <row r="21">
          <cell r="C21">
            <v>66633.610476617425</v>
          </cell>
          <cell r="D21">
            <v>67368.089071208393</v>
          </cell>
          <cell r="E21">
            <v>32095.995740656355</v>
          </cell>
          <cell r="F21">
            <v>58060.702889343229</v>
          </cell>
          <cell r="G21">
            <v>40343.12805646746</v>
          </cell>
          <cell r="H21">
            <v>57626.858750158332</v>
          </cell>
          <cell r="I21">
            <v>38784.583100140284</v>
          </cell>
          <cell r="J21">
            <v>44323.416766155249</v>
          </cell>
          <cell r="K21">
            <v>47869.565871372884</v>
          </cell>
          <cell r="L21">
            <v>27969.719441629451</v>
          </cell>
          <cell r="M21">
            <v>41678.664523401785</v>
          </cell>
          <cell r="N21">
            <v>82300.511623806335</v>
          </cell>
        </row>
        <row r="22">
          <cell r="C22">
            <v>138677.17519096044</v>
          </cell>
          <cell r="D22">
            <v>140205.76438202406</v>
          </cell>
          <cell r="E22">
            <v>66797.851600990878</v>
          </cell>
          <cell r="F22">
            <v>120835.32932860054</v>
          </cell>
          <cell r="G22">
            <v>83961.697365946122</v>
          </cell>
          <cell r="H22">
            <v>119932.41743076142</v>
          </cell>
          <cell r="I22">
            <v>80718.069857161856</v>
          </cell>
          <cell r="J22">
            <v>92245.43271745721</v>
          </cell>
          <cell r="K22">
            <v>99625.641251858979</v>
          </cell>
          <cell r="L22">
            <v>58210.288401076003</v>
          </cell>
          <cell r="M22">
            <v>86741.201932398515</v>
          </cell>
          <cell r="N22">
            <v>171282.96646577941</v>
          </cell>
        </row>
        <row r="23">
          <cell r="C23">
            <v>73776.990109242557</v>
          </cell>
          <cell r="D23">
            <v>74590.207637468862</v>
          </cell>
          <cell r="E23">
            <v>35536.810077785558</v>
          </cell>
          <cell r="F23">
            <v>64285.033816468582</v>
          </cell>
          <cell r="G23">
            <v>44668.066735515713</v>
          </cell>
          <cell r="H23">
            <v>63804.679914936743</v>
          </cell>
          <cell r="I23">
            <v>42942.439758299617</v>
          </cell>
          <cell r="J23">
            <v>49075.057721988123</v>
          </cell>
          <cell r="K23">
            <v>53001.367666627069</v>
          </cell>
          <cell r="L23">
            <v>30968.181070234841</v>
          </cell>
          <cell r="M23">
            <v>46146.777854525586</v>
          </cell>
          <cell r="N23">
            <v>91123.443388766464</v>
          </cell>
        </row>
        <row r="24">
          <cell r="C24">
            <v>552458.64732824359</v>
          </cell>
          <cell r="D24">
            <v>558548.20255355549</v>
          </cell>
          <cell r="E24">
            <v>266107.60342572705</v>
          </cell>
          <cell r="F24">
            <v>481380.74992093554</v>
          </cell>
          <cell r="G24">
            <v>334484.50107453263</v>
          </cell>
          <cell r="H24">
            <v>477783.75218104152</v>
          </cell>
          <cell r="I24">
            <v>321562.61927623325</v>
          </cell>
          <cell r="J24">
            <v>367485.03790273936</v>
          </cell>
          <cell r="K24">
            <v>396886.12729110842</v>
          </cell>
          <cell r="L24">
            <v>231896.68484638733</v>
          </cell>
          <cell r="M24">
            <v>345557.42155268969</v>
          </cell>
          <cell r="N24">
            <v>682352.77963912231</v>
          </cell>
        </row>
        <row r="25">
          <cell r="C25">
            <v>67859.928444920282</v>
          </cell>
          <cell r="D25">
            <v>68607.92430641962</v>
          </cell>
          <cell r="E25">
            <v>32686.687075041587</v>
          </cell>
          <cell r="F25">
            <v>59129.245966871356</v>
          </cell>
          <cell r="G25">
            <v>41085.598747749456</v>
          </cell>
          <cell r="H25">
            <v>58687.417405718035</v>
          </cell>
          <cell r="I25">
            <v>39498.370493748916</v>
          </cell>
          <cell r="J25">
            <v>45139.140272777884</v>
          </cell>
          <cell r="K25">
            <v>48750.552333655636</v>
          </cell>
          <cell r="L25">
            <v>28484.471220413769</v>
          </cell>
          <cell r="M25">
            <v>42445.714287542214</v>
          </cell>
          <cell r="N25">
            <v>83815.161595237936</v>
          </cell>
        </row>
        <row r="26">
          <cell r="C26">
            <v>90884.613024911858</v>
          </cell>
          <cell r="D26">
            <v>91886.401797379876</v>
          </cell>
          <cell r="E26">
            <v>43777.18889422022</v>
          </cell>
          <cell r="F26">
            <v>79191.634316499258</v>
          </cell>
          <cell r="G26">
            <v>55025.82788776177</v>
          </cell>
          <cell r="H26">
            <v>78599.894556025363</v>
          </cell>
          <cell r="I26">
            <v>52900.057511152358</v>
          </cell>
          <cell r="J26">
            <v>60454.724754071336</v>
          </cell>
          <cell r="K26">
            <v>65291.478861361349</v>
          </cell>
          <cell r="L26">
            <v>38149.172912668037</v>
          </cell>
          <cell r="M26">
            <v>56847.426839248539</v>
          </cell>
          <cell r="N26">
            <v>112253.41231219452</v>
          </cell>
        </row>
      </sheetData>
      <sheetData sheetId="22">
        <row r="7">
          <cell r="C7">
            <v>221149.74295927721</v>
          </cell>
          <cell r="D7">
            <v>222516.2298324453</v>
          </cell>
          <cell r="E7">
            <v>252825.77036195033</v>
          </cell>
          <cell r="F7">
            <v>242573.30921120683</v>
          </cell>
          <cell r="G7">
            <v>258898.84233744943</v>
          </cell>
          <cell r="H7">
            <v>248735.24449241886</v>
          </cell>
          <cell r="I7">
            <v>257861.19628767337</v>
          </cell>
          <cell r="J7">
            <v>255959.02638851784</v>
          </cell>
          <cell r="K7">
            <v>244192.50881827332</v>
          </cell>
          <cell r="L7">
            <v>257063.79269192531</v>
          </cell>
          <cell r="M7">
            <v>247583.00890387889</v>
          </cell>
          <cell r="N7">
            <v>182239.87521498336</v>
          </cell>
        </row>
        <row r="8">
          <cell r="C8">
            <v>94612.619691239321</v>
          </cell>
          <cell r="D8">
            <v>95197.232185534333</v>
          </cell>
          <cell r="E8">
            <v>108164.30595537506</v>
          </cell>
          <cell r="F8">
            <v>103778.08241844281</v>
          </cell>
          <cell r="G8">
            <v>110762.49685302953</v>
          </cell>
          <cell r="H8">
            <v>106414.29095082486</v>
          </cell>
          <cell r="I8">
            <v>110318.56954039568</v>
          </cell>
          <cell r="J8">
            <v>109504.78031844726</v>
          </cell>
          <cell r="K8">
            <v>104470.81085926128</v>
          </cell>
          <cell r="L8">
            <v>109977.42312016751</v>
          </cell>
          <cell r="M8">
            <v>105921.33976727625</v>
          </cell>
          <cell r="N8">
            <v>77966.140840005988</v>
          </cell>
        </row>
        <row r="9">
          <cell r="C9">
            <v>76618.808584316517</v>
          </cell>
          <cell r="D9">
            <v>77092.237107303881</v>
          </cell>
          <cell r="E9">
            <v>87593.180282880421</v>
          </cell>
          <cell r="F9">
            <v>84041.146498370872</v>
          </cell>
          <cell r="G9">
            <v>89697.23671533681</v>
          </cell>
          <cell r="H9">
            <v>86175.990217845901</v>
          </cell>
          <cell r="I9">
            <v>89337.73729651676</v>
          </cell>
          <cell r="J9">
            <v>88678.717803895939</v>
          </cell>
          <cell r="K9">
            <v>84602.129039401771</v>
          </cell>
          <cell r="L9">
            <v>89061.47148381664</v>
          </cell>
          <cell r="M9">
            <v>85776.790486383237</v>
          </cell>
          <cell r="N9">
            <v>63138.224483931241</v>
          </cell>
        </row>
        <row r="10">
          <cell r="C10">
            <v>443460.37695771072</v>
          </cell>
          <cell r="D10">
            <v>446200.52386348607</v>
          </cell>
          <cell r="E10">
            <v>506978.71012212604</v>
          </cell>
          <cell r="F10">
            <v>486419.96912693436</v>
          </cell>
          <cell r="G10">
            <v>519156.73371604027</v>
          </cell>
          <cell r="H10">
            <v>498776.18580632017</v>
          </cell>
          <cell r="I10">
            <v>517075.99465559697</v>
          </cell>
          <cell r="J10">
            <v>513261.66971345828</v>
          </cell>
          <cell r="K10">
            <v>489666.86807653756</v>
          </cell>
          <cell r="L10">
            <v>515477.00161845388</v>
          </cell>
          <cell r="M10">
            <v>496465.66614846047</v>
          </cell>
          <cell r="N10">
            <v>365436.39019487472</v>
          </cell>
        </row>
        <row r="11">
          <cell r="C11">
            <v>359876.22213845636</v>
          </cell>
          <cell r="D11">
            <v>362099.90156460914</v>
          </cell>
          <cell r="E11">
            <v>411422.51344989287</v>
          </cell>
          <cell r="F11">
            <v>394738.71840143891</v>
          </cell>
          <cell r="G11">
            <v>421305.20275385468</v>
          </cell>
          <cell r="H11">
            <v>404766.0146595792</v>
          </cell>
          <cell r="I11">
            <v>419616.64487757871</v>
          </cell>
          <cell r="J11">
            <v>416521.25029102637</v>
          </cell>
          <cell r="K11">
            <v>397373.63639719016</v>
          </cell>
          <cell r="L11">
            <v>418319.03272701753</v>
          </cell>
          <cell r="M11">
            <v>402890.98561786063</v>
          </cell>
          <cell r="N11">
            <v>296558.32712149521</v>
          </cell>
        </row>
        <row r="12">
          <cell r="C12">
            <v>419662.11065500637</v>
          </cell>
          <cell r="D12">
            <v>422255.20779227809</v>
          </cell>
          <cell r="E12">
            <v>479771.73745850415</v>
          </cell>
          <cell r="F12">
            <v>460316.27968425862</v>
          </cell>
          <cell r="G12">
            <v>491296.22837264027</v>
          </cell>
          <cell r="H12">
            <v>472009.40096592868</v>
          </cell>
          <cell r="I12">
            <v>489327.15201046679</v>
          </cell>
          <cell r="J12">
            <v>485717.52251679369</v>
          </cell>
          <cell r="K12">
            <v>463388.93405672337</v>
          </cell>
          <cell r="L12">
            <v>487813.9688090866</v>
          </cell>
          <cell r="M12">
            <v>469822.87516405364</v>
          </cell>
          <cell r="N12">
            <v>345825.27501425974</v>
          </cell>
        </row>
        <row r="13">
          <cell r="C13">
            <v>116089.10391563109</v>
          </cell>
          <cell r="D13">
            <v>116806.41985955134</v>
          </cell>
          <cell r="E13">
            <v>132716.93982254609</v>
          </cell>
          <cell r="F13">
            <v>127335.07045207708</v>
          </cell>
          <cell r="G13">
            <v>135904.90411414669</v>
          </cell>
          <cell r="H13">
            <v>130569.68214825136</v>
          </cell>
          <cell r="I13">
            <v>135360.20802502538</v>
          </cell>
          <cell r="J13">
            <v>134361.69364226659</v>
          </cell>
          <cell r="K13">
            <v>128185.0439990936</v>
          </cell>
          <cell r="L13">
            <v>134941.62346032824</v>
          </cell>
          <cell r="M13">
            <v>129964.83407027763</v>
          </cell>
          <cell r="N13">
            <v>95663.976490804911</v>
          </cell>
        </row>
        <row r="14">
          <cell r="C14">
            <v>154978.95372736751</v>
          </cell>
          <cell r="D14">
            <v>155936.57051250106</v>
          </cell>
          <cell r="E14">
            <v>177177.11466309906</v>
          </cell>
          <cell r="F14">
            <v>169992.31905352289</v>
          </cell>
          <cell r="G14">
            <v>181433.04699238582</v>
          </cell>
          <cell r="H14">
            <v>174310.52566791559</v>
          </cell>
          <cell r="I14">
            <v>180705.8777134089</v>
          </cell>
          <cell r="J14">
            <v>179372.86101242588</v>
          </cell>
          <cell r="K14">
            <v>171127.03373878996</v>
          </cell>
          <cell r="L14">
            <v>180147.06731953821</v>
          </cell>
          <cell r="M14">
            <v>173503.05348382064</v>
          </cell>
          <cell r="N14">
            <v>127711.40861522456</v>
          </cell>
        </row>
        <row r="15">
          <cell r="C15">
            <v>133502.46950297573</v>
          </cell>
          <cell r="D15">
            <v>134327.38283848405</v>
          </cell>
          <cell r="E15">
            <v>152624.48079592802</v>
          </cell>
          <cell r="F15">
            <v>146435.33101988863</v>
          </cell>
          <cell r="G15">
            <v>156290.63973126869</v>
          </cell>
          <cell r="H15">
            <v>150155.13447048908</v>
          </cell>
          <cell r="I15">
            <v>155664.23922877919</v>
          </cell>
          <cell r="J15">
            <v>154515.94768860657</v>
          </cell>
          <cell r="K15">
            <v>147412.80059895763</v>
          </cell>
          <cell r="L15">
            <v>155182.86697937749</v>
          </cell>
          <cell r="M15">
            <v>149459.55918081925</v>
          </cell>
          <cell r="N15">
            <v>110013.57296442564</v>
          </cell>
        </row>
        <row r="16">
          <cell r="C16">
            <v>134082.91502255391</v>
          </cell>
          <cell r="D16">
            <v>134911.41493778178</v>
          </cell>
          <cell r="E16">
            <v>153288.06549504073</v>
          </cell>
          <cell r="F16">
            <v>147072.00637214902</v>
          </cell>
          <cell r="G16">
            <v>156970.16425183942</v>
          </cell>
          <cell r="H16">
            <v>150807.98288123033</v>
          </cell>
          <cell r="I16">
            <v>156341.04026890433</v>
          </cell>
          <cell r="J16">
            <v>155187.75615681789</v>
          </cell>
          <cell r="K16">
            <v>148053.7258189531</v>
          </cell>
          <cell r="L16">
            <v>155857.57509667912</v>
          </cell>
          <cell r="M16">
            <v>150109.38335117066</v>
          </cell>
          <cell r="N16">
            <v>110491.89284687967</v>
          </cell>
        </row>
        <row r="17">
          <cell r="C17">
            <v>293124.98738696851</v>
          </cell>
          <cell r="D17">
            <v>294936.21014536713</v>
          </cell>
          <cell r="E17">
            <v>335110.2730519289</v>
          </cell>
          <cell r="F17">
            <v>321521.05289149465</v>
          </cell>
          <cell r="G17">
            <v>343159.88288822037</v>
          </cell>
          <cell r="H17">
            <v>329688.44742433471</v>
          </cell>
          <cell r="I17">
            <v>341784.52526318911</v>
          </cell>
          <cell r="J17">
            <v>339263.27644672315</v>
          </cell>
          <cell r="K17">
            <v>323667.23609771137</v>
          </cell>
          <cell r="L17">
            <v>340727.59923732886</v>
          </cell>
          <cell r="M17">
            <v>328161.20602745103</v>
          </cell>
          <cell r="N17">
            <v>241551.54063928241</v>
          </cell>
        </row>
        <row r="18">
          <cell r="C18">
            <v>149754.94405116409</v>
          </cell>
          <cell r="D18">
            <v>150680.28161882123</v>
          </cell>
          <cell r="E18">
            <v>171204.85237108447</v>
          </cell>
          <cell r="F18">
            <v>164262.24088317942</v>
          </cell>
          <cell r="G18">
            <v>175317.32630724923</v>
          </cell>
          <cell r="H18">
            <v>168434.88997124427</v>
          </cell>
          <cell r="I18">
            <v>174614.66835228275</v>
          </cell>
          <cell r="J18">
            <v>173326.58479852389</v>
          </cell>
          <cell r="K18">
            <v>165358.70675883075</v>
          </cell>
          <cell r="L18">
            <v>174074.69426382345</v>
          </cell>
          <cell r="M18">
            <v>167654.63595065812</v>
          </cell>
          <cell r="N18">
            <v>123406.52967313833</v>
          </cell>
        </row>
        <row r="19">
          <cell r="C19">
            <v>196771.03113699469</v>
          </cell>
          <cell r="D19">
            <v>197986.88166193952</v>
          </cell>
          <cell r="E19">
            <v>224955.21299921564</v>
          </cell>
          <cell r="F19">
            <v>215832.94441627062</v>
          </cell>
          <cell r="G19">
            <v>230358.81247347861</v>
          </cell>
          <cell r="H19">
            <v>221315.61124128607</v>
          </cell>
          <cell r="I19">
            <v>229435.55260241803</v>
          </cell>
          <cell r="J19">
            <v>227743.07072364184</v>
          </cell>
          <cell r="K19">
            <v>217273.64957846366</v>
          </cell>
          <cell r="L19">
            <v>228726.05176525636</v>
          </cell>
          <cell r="M19">
            <v>220290.39374912056</v>
          </cell>
          <cell r="N19">
            <v>162150.44015191431</v>
          </cell>
        </row>
        <row r="20">
          <cell r="C20">
            <v>47596.532605408749</v>
          </cell>
          <cell r="D20">
            <v>47890.632142416056</v>
          </cell>
          <cell r="E20">
            <v>54413.945327243906</v>
          </cell>
          <cell r="F20">
            <v>52207.378885351602</v>
          </cell>
          <cell r="G20">
            <v>55721.010686800146</v>
          </cell>
          <cell r="H20">
            <v>53533.569680783061</v>
          </cell>
          <cell r="I20">
            <v>55497.685290260415</v>
          </cell>
          <cell r="J20">
            <v>55088.294393329299</v>
          </cell>
          <cell r="K20">
            <v>52555.868039628382</v>
          </cell>
          <cell r="L20">
            <v>55326.065618734581</v>
          </cell>
          <cell r="M20">
            <v>53285.581968813829</v>
          </cell>
          <cell r="N20">
            <v>39222.230361230017</v>
          </cell>
        </row>
        <row r="21">
          <cell r="C21">
            <v>131761.13294424128</v>
          </cell>
          <cell r="D21">
            <v>132575.28654059078</v>
          </cell>
          <cell r="E21">
            <v>150633.72669858983</v>
          </cell>
          <cell r="F21">
            <v>144525.30496310748</v>
          </cell>
          <cell r="G21">
            <v>154252.06616955649</v>
          </cell>
          <cell r="H21">
            <v>148196.5892382653</v>
          </cell>
          <cell r="I21">
            <v>153633.83610840383</v>
          </cell>
          <cell r="J21">
            <v>152500.52228397259</v>
          </cell>
          <cell r="K21">
            <v>145490.02493897124</v>
          </cell>
          <cell r="L21">
            <v>153158.74262747256</v>
          </cell>
          <cell r="M21">
            <v>147510.08666976512</v>
          </cell>
          <cell r="N21">
            <v>108578.61331706357</v>
          </cell>
        </row>
        <row r="22">
          <cell r="C22">
            <v>498602.70131763554</v>
          </cell>
          <cell r="D22">
            <v>501683.57329677301</v>
          </cell>
          <cell r="E22">
            <v>570019.25653783546</v>
          </cell>
          <cell r="F22">
            <v>546904.12759167107</v>
          </cell>
          <cell r="G22">
            <v>583711.56317026005</v>
          </cell>
          <cell r="H22">
            <v>560796.78482673969</v>
          </cell>
          <cell r="I22">
            <v>581372.09346748411</v>
          </cell>
          <cell r="J22">
            <v>577083.47419353493</v>
          </cell>
          <cell r="K22">
            <v>550554.763976107</v>
          </cell>
          <cell r="L22">
            <v>579574.27276210987</v>
          </cell>
          <cell r="M22">
            <v>558198.9623318424</v>
          </cell>
          <cell r="N22">
            <v>410876.77902800712</v>
          </cell>
        </row>
        <row r="23">
          <cell r="C23">
            <v>264102.71140806068</v>
          </cell>
          <cell r="D23">
            <v>265734.6051804793</v>
          </cell>
          <cell r="E23">
            <v>301931.03809629235</v>
          </cell>
          <cell r="F23">
            <v>289687.28527847532</v>
          </cell>
          <cell r="G23">
            <v>309183.65685968369</v>
          </cell>
          <cell r="H23">
            <v>297046.02688727184</v>
          </cell>
          <cell r="I23">
            <v>307944.47325693275</v>
          </cell>
          <cell r="J23">
            <v>305672.85303615645</v>
          </cell>
          <cell r="K23">
            <v>291620.97509793792</v>
          </cell>
          <cell r="L23">
            <v>306992.19337224675</v>
          </cell>
          <cell r="M23">
            <v>295669.99750988156</v>
          </cell>
          <cell r="N23">
            <v>217635.54651658115</v>
          </cell>
        </row>
        <row r="24">
          <cell r="C24">
            <v>1684452.897815807</v>
          </cell>
          <cell r="D24">
            <v>1694861.1521620899</v>
          </cell>
          <cell r="E24">
            <v>1925722.796825144</v>
          </cell>
          <cell r="F24">
            <v>1847631.8722596385</v>
          </cell>
          <cell r="G24">
            <v>1971980.1586962685</v>
          </cell>
          <cell r="H24">
            <v>1894566.0879711274</v>
          </cell>
          <cell r="I24">
            <v>1964076.6184431184</v>
          </cell>
          <cell r="J24">
            <v>1949588.1747492882</v>
          </cell>
          <cell r="K24">
            <v>1859964.9884268483</v>
          </cell>
          <cell r="L24">
            <v>1958002.9564093628</v>
          </cell>
          <cell r="M24">
            <v>1885789.7423597283</v>
          </cell>
          <cell r="N24">
            <v>1388084.2988815792</v>
          </cell>
        </row>
        <row r="25">
          <cell r="C25">
            <v>158461.62684483643</v>
          </cell>
          <cell r="D25">
            <v>159440.76310828759</v>
          </cell>
          <cell r="E25">
            <v>181158.62285777542</v>
          </cell>
          <cell r="F25">
            <v>173812.37116708522</v>
          </cell>
          <cell r="G25">
            <v>185510.19411581021</v>
          </cell>
          <cell r="H25">
            <v>178227.61613236312</v>
          </cell>
          <cell r="I25">
            <v>184766.68395415967</v>
          </cell>
          <cell r="J25">
            <v>183403.7118216939</v>
          </cell>
          <cell r="K25">
            <v>174972.58505876278</v>
          </cell>
          <cell r="L25">
            <v>184195.31602334807</v>
          </cell>
          <cell r="M25">
            <v>177401.99850592896</v>
          </cell>
          <cell r="N25">
            <v>130581.3279099487</v>
          </cell>
        </row>
        <row r="26">
          <cell r="C26">
            <v>225793.30711590243</v>
          </cell>
          <cell r="D26">
            <v>227188.48662682733</v>
          </cell>
          <cell r="E26">
            <v>258134.44795485213</v>
          </cell>
          <cell r="F26">
            <v>247666.71202928989</v>
          </cell>
          <cell r="G26">
            <v>264335.03850201529</v>
          </cell>
          <cell r="H26">
            <v>253958.0317783489</v>
          </cell>
          <cell r="I26">
            <v>263275.60460867436</v>
          </cell>
          <cell r="J26">
            <v>261333.49413420848</v>
          </cell>
          <cell r="K26">
            <v>249319.91057823703</v>
          </cell>
          <cell r="L26">
            <v>262461.45763033844</v>
          </cell>
          <cell r="M26">
            <v>252781.60226668997</v>
          </cell>
          <cell r="N26">
            <v>186066.43427461552</v>
          </cell>
        </row>
      </sheetData>
      <sheetData sheetId="23">
        <row r="7">
          <cell r="C7">
            <v>11802.679292037985</v>
          </cell>
          <cell r="D7">
            <v>1333.2292221198138</v>
          </cell>
          <cell r="E7">
            <v>1333.2292221198138</v>
          </cell>
          <cell r="F7">
            <v>18204.517099508423</v>
          </cell>
          <cell r="G7">
            <v>1333.2292221198138</v>
          </cell>
          <cell r="H7">
            <v>1333.2292221198138</v>
          </cell>
          <cell r="I7">
            <v>15264.771092395671</v>
          </cell>
          <cell r="J7">
            <v>1333.2292221198127</v>
          </cell>
          <cell r="K7">
            <v>1333.2292221198127</v>
          </cell>
          <cell r="L7">
            <v>13985.991384813668</v>
          </cell>
          <cell r="M7">
            <v>1333.2292221198115</v>
          </cell>
          <cell r="N7">
            <v>1333.2292221198115</v>
          </cell>
        </row>
        <row r="8">
          <cell r="C8">
            <v>2925.5296800196288</v>
          </cell>
          <cell r="D8">
            <v>330.46747802528074</v>
          </cell>
          <cell r="E8">
            <v>330.46747802528074</v>
          </cell>
          <cell r="F8">
            <v>4512.3529808154808</v>
          </cell>
          <cell r="G8">
            <v>330.46747802528074</v>
          </cell>
          <cell r="H8">
            <v>330.46747802528074</v>
          </cell>
          <cell r="I8">
            <v>3783.6782466532745</v>
          </cell>
          <cell r="J8">
            <v>330.46747802528034</v>
          </cell>
          <cell r="K8">
            <v>330.46747802528034</v>
          </cell>
          <cell r="L8">
            <v>3466.7071677846229</v>
          </cell>
          <cell r="M8">
            <v>330.46747802528006</v>
          </cell>
          <cell r="N8">
            <v>330.46747802528006</v>
          </cell>
        </row>
        <row r="9">
          <cell r="C9">
            <v>1106.3412555767009</v>
          </cell>
          <cell r="D9">
            <v>124.97217412038073</v>
          </cell>
          <cell r="E9">
            <v>124.97217412038073</v>
          </cell>
          <cell r="F9">
            <v>1706.4268041769351</v>
          </cell>
          <cell r="G9">
            <v>124.97217412038073</v>
          </cell>
          <cell r="H9">
            <v>124.97217412038073</v>
          </cell>
          <cell r="I9">
            <v>1430.8654500037569</v>
          </cell>
          <cell r="J9">
            <v>124.97217412038063</v>
          </cell>
          <cell r="K9">
            <v>124.97217412038063</v>
          </cell>
          <cell r="L9">
            <v>1310.9971800723122</v>
          </cell>
          <cell r="M9">
            <v>124.9721741203805</v>
          </cell>
          <cell r="N9">
            <v>124.9721741203805</v>
          </cell>
        </row>
        <row r="10">
          <cell r="C10">
            <v>1244975.8797058584</v>
          </cell>
          <cell r="D10">
            <v>140632.32445686206</v>
          </cell>
          <cell r="E10">
            <v>140632.32445686206</v>
          </cell>
          <cell r="F10">
            <v>1920257.6067512033</v>
          </cell>
          <cell r="G10">
            <v>140632.32445686206</v>
          </cell>
          <cell r="H10">
            <v>140632.32445686206</v>
          </cell>
          <cell r="I10">
            <v>1610165.9080141254</v>
          </cell>
          <cell r="J10">
            <v>140632.32445686191</v>
          </cell>
          <cell r="K10">
            <v>140632.32445686191</v>
          </cell>
          <cell r="L10">
            <v>1475277.0533732229</v>
          </cell>
          <cell r="M10">
            <v>140632.3244568618</v>
          </cell>
          <cell r="N10">
            <v>140632.3244568618</v>
          </cell>
        </row>
        <row r="11">
          <cell r="C11">
            <v>55699.534132124987</v>
          </cell>
          <cell r="D11">
            <v>6291.8126237238803</v>
          </cell>
          <cell r="E11">
            <v>6291.8126237238803</v>
          </cell>
          <cell r="F11">
            <v>85911.266116241008</v>
          </cell>
          <cell r="G11">
            <v>6291.8126237238803</v>
          </cell>
          <cell r="H11">
            <v>6291.8126237238803</v>
          </cell>
          <cell r="I11">
            <v>72037.934560632741</v>
          </cell>
          <cell r="J11">
            <v>6291.8126237238748</v>
          </cell>
          <cell r="K11">
            <v>6291.8126237238748</v>
          </cell>
          <cell r="L11">
            <v>66003.081608389752</v>
          </cell>
          <cell r="M11">
            <v>6291.8126237238675</v>
          </cell>
          <cell r="N11">
            <v>6291.8126237238675</v>
          </cell>
        </row>
        <row r="12">
          <cell r="C12">
            <v>138.9651749087565</v>
          </cell>
          <cell r="D12">
            <v>15.697489312475769</v>
          </cell>
          <cell r="E12">
            <v>15.697489312475769</v>
          </cell>
          <cell r="F12">
            <v>214.34064590480065</v>
          </cell>
          <cell r="G12">
            <v>15.697489312475769</v>
          </cell>
          <cell r="H12">
            <v>15.697489312475769</v>
          </cell>
          <cell r="I12">
            <v>179.7279695829651</v>
          </cell>
          <cell r="J12">
            <v>15.697489312475755</v>
          </cell>
          <cell r="K12">
            <v>15.697489312475755</v>
          </cell>
          <cell r="L12">
            <v>164.67157083342175</v>
          </cell>
          <cell r="M12">
            <v>15.697489312475739</v>
          </cell>
          <cell r="N12">
            <v>15.697489312475739</v>
          </cell>
        </row>
        <row r="13">
          <cell r="C13">
            <v>32.849495233388772</v>
          </cell>
          <cell r="D13">
            <v>3.7106749995811463</v>
          </cell>
          <cell r="E13">
            <v>3.7106749995811463</v>
          </cell>
          <cell r="F13">
            <v>50.667241131414954</v>
          </cell>
          <cell r="G13">
            <v>3.7106749995811463</v>
          </cell>
          <cell r="H13">
            <v>3.7106749995811463</v>
          </cell>
          <cell r="I13">
            <v>42.485270744981669</v>
          </cell>
          <cell r="J13">
            <v>3.7106749995811428</v>
          </cell>
          <cell r="K13">
            <v>3.7106749995811428</v>
          </cell>
          <cell r="L13">
            <v>38.926140917815466</v>
          </cell>
          <cell r="M13">
            <v>3.7106749995811397</v>
          </cell>
          <cell r="N13">
            <v>3.7106749995811397</v>
          </cell>
        </row>
        <row r="14">
          <cell r="C14">
            <v>9699.6117410109109</v>
          </cell>
          <cell r="D14">
            <v>1095.6669664875083</v>
          </cell>
          <cell r="E14">
            <v>1095.6669664875083</v>
          </cell>
          <cell r="F14">
            <v>14960.734205236215</v>
          </cell>
          <cell r="G14">
            <v>1095.6669664875083</v>
          </cell>
          <cell r="H14">
            <v>1095.6669664875083</v>
          </cell>
          <cell r="I14">
            <v>12544.808619135061</v>
          </cell>
          <cell r="J14">
            <v>1095.6669664875074</v>
          </cell>
          <cell r="K14">
            <v>1095.6669664875074</v>
          </cell>
          <cell r="L14">
            <v>11493.889047492006</v>
          </cell>
          <cell r="M14">
            <v>1095.6669664875062</v>
          </cell>
          <cell r="N14">
            <v>1095.6669664875062</v>
          </cell>
        </row>
        <row r="15">
          <cell r="C15">
            <v>1794.2560512298369</v>
          </cell>
          <cell r="D15">
            <v>202.67894604902614</v>
          </cell>
          <cell r="E15">
            <v>202.67894604902614</v>
          </cell>
          <cell r="F15">
            <v>2767.4703478170991</v>
          </cell>
          <cell r="G15">
            <v>202.67894604902614</v>
          </cell>
          <cell r="H15">
            <v>202.67894604902614</v>
          </cell>
          <cell r="I15">
            <v>2320.5669852984665</v>
          </cell>
          <cell r="J15">
            <v>202.67894604902594</v>
          </cell>
          <cell r="K15">
            <v>202.67894604902594</v>
          </cell>
          <cell r="L15">
            <v>2126.1655132473907</v>
          </cell>
          <cell r="M15">
            <v>202.67894604902577</v>
          </cell>
          <cell r="N15">
            <v>202.67894604902577</v>
          </cell>
        </row>
        <row r="16">
          <cell r="C16">
            <v>956.44082925869373</v>
          </cell>
          <cell r="D16">
            <v>108.03944013427608</v>
          </cell>
          <cell r="E16">
            <v>108.03944013427608</v>
          </cell>
          <cell r="F16">
            <v>1475.2195666837808</v>
          </cell>
          <cell r="G16">
            <v>108.03944013427608</v>
          </cell>
          <cell r="H16">
            <v>108.03944013427608</v>
          </cell>
          <cell r="I16">
            <v>1236.9945807054185</v>
          </cell>
          <cell r="J16">
            <v>108.03944013427599</v>
          </cell>
          <cell r="K16">
            <v>108.03944013427599</v>
          </cell>
          <cell r="L16">
            <v>1133.3675064033994</v>
          </cell>
          <cell r="M16">
            <v>108.03944013427588</v>
          </cell>
          <cell r="N16">
            <v>108.03944013427588</v>
          </cell>
        </row>
        <row r="17">
          <cell r="C17">
            <v>2237.4399203439448</v>
          </cell>
          <cell r="D17">
            <v>252.74094218185729</v>
          </cell>
          <cell r="E17">
            <v>252.74094218185729</v>
          </cell>
          <cell r="F17">
            <v>3451.0395717099036</v>
          </cell>
          <cell r="G17">
            <v>252.74094218185729</v>
          </cell>
          <cell r="H17">
            <v>252.74094218185729</v>
          </cell>
          <cell r="I17">
            <v>2893.7504249631193</v>
          </cell>
          <cell r="J17">
            <v>252.74094218185704</v>
          </cell>
          <cell r="K17">
            <v>252.74094218185704</v>
          </cell>
          <cell r="L17">
            <v>2651.3315049641765</v>
          </cell>
          <cell r="M17">
            <v>252.74094218185678</v>
          </cell>
          <cell r="N17">
            <v>252.74094218185678</v>
          </cell>
        </row>
        <row r="18">
          <cell r="C18">
            <v>1882.0442495433008</v>
          </cell>
          <cell r="D18">
            <v>212.59549028891877</v>
          </cell>
          <cell r="E18">
            <v>212.59549028891877</v>
          </cell>
          <cell r="F18">
            <v>2902.8753450884037</v>
          </cell>
          <cell r="G18">
            <v>212.59549028891877</v>
          </cell>
          <cell r="H18">
            <v>212.59549028891877</v>
          </cell>
          <cell r="I18">
            <v>2434.1061842134841</v>
          </cell>
          <cell r="J18">
            <v>212.59549028891854</v>
          </cell>
          <cell r="K18">
            <v>212.59549028891854</v>
          </cell>
          <cell r="L18">
            <v>2230.1931628107141</v>
          </cell>
          <cell r="M18">
            <v>212.59549028891837</v>
          </cell>
          <cell r="N18">
            <v>212.59549028891837</v>
          </cell>
        </row>
        <row r="19">
          <cell r="C19">
            <v>8275.3171154588399</v>
          </cell>
          <cell r="D19">
            <v>934.77881823669441</v>
          </cell>
          <cell r="E19">
            <v>934.77881823669441</v>
          </cell>
          <cell r="F19">
            <v>12763.894384036301</v>
          </cell>
          <cell r="G19">
            <v>934.77881823669441</v>
          </cell>
          <cell r="H19">
            <v>934.77881823669441</v>
          </cell>
          <cell r="I19">
            <v>10702.724217007106</v>
          </cell>
          <cell r="J19">
            <v>934.7788182366935</v>
          </cell>
          <cell r="K19">
            <v>934.7788182366935</v>
          </cell>
          <cell r="L19">
            <v>9806.1220693749547</v>
          </cell>
          <cell r="M19">
            <v>934.77881823669259</v>
          </cell>
          <cell r="N19">
            <v>934.77881823669259</v>
          </cell>
        </row>
        <row r="20">
          <cell r="C20">
            <v>385.57696469017583</v>
          </cell>
          <cell r="D20">
            <v>43.554727192154196</v>
          </cell>
          <cell r="E20">
            <v>43.554727192154196</v>
          </cell>
          <cell r="F20">
            <v>594.71601940535652</v>
          </cell>
          <cell r="G20">
            <v>43.554727192154196</v>
          </cell>
          <cell r="H20">
            <v>43.554727192154196</v>
          </cell>
          <cell r="I20">
            <v>498.67864396406583</v>
          </cell>
          <cell r="J20">
            <v>43.554727192154161</v>
          </cell>
          <cell r="K20">
            <v>43.554727192154161</v>
          </cell>
          <cell r="L20">
            <v>456.90270597941856</v>
          </cell>
          <cell r="M20">
            <v>43.554727192154111</v>
          </cell>
          <cell r="N20">
            <v>43.554727192154111</v>
          </cell>
        </row>
        <row r="21">
          <cell r="C21">
            <v>3033.5262229373875</v>
          </cell>
          <cell r="D21">
            <v>342.66675442203945</v>
          </cell>
          <cell r="E21">
            <v>342.66675442203945</v>
          </cell>
          <cell r="F21">
            <v>4678.9274393420628</v>
          </cell>
          <cell r="G21">
            <v>342.66675442203945</v>
          </cell>
          <cell r="H21">
            <v>342.66675442203945</v>
          </cell>
          <cell r="I21">
            <v>3923.3535242423018</v>
          </cell>
          <cell r="J21">
            <v>342.66675442203916</v>
          </cell>
          <cell r="K21">
            <v>342.66675442203916</v>
          </cell>
          <cell r="L21">
            <v>3594.6813913879332</v>
          </cell>
          <cell r="M21">
            <v>342.66675442203882</v>
          </cell>
          <cell r="N21">
            <v>342.66675442203882</v>
          </cell>
        </row>
        <row r="22">
          <cell r="C22">
            <v>44777.055096520409</v>
          </cell>
          <cell r="D22">
            <v>5058.0107158738028</v>
          </cell>
          <cell r="E22">
            <v>5058.0107158738028</v>
          </cell>
          <cell r="F22">
            <v>69064.374706862378</v>
          </cell>
          <cell r="G22">
            <v>5058.0107158738028</v>
          </cell>
          <cell r="H22">
            <v>5058.0107158738028</v>
          </cell>
          <cell r="I22">
            <v>57911.553752126914</v>
          </cell>
          <cell r="J22">
            <v>5058.0107158737983</v>
          </cell>
          <cell r="K22">
            <v>5058.0107158737983</v>
          </cell>
          <cell r="L22">
            <v>53060.113837010453</v>
          </cell>
          <cell r="M22">
            <v>5058.0107158737928</v>
          </cell>
          <cell r="N22">
            <v>5058.0107158737928</v>
          </cell>
        </row>
        <row r="23">
          <cell r="C23">
            <v>4866.0556540996013</v>
          </cell>
          <cell r="D23">
            <v>549.66905682876666</v>
          </cell>
          <cell r="E23">
            <v>549.66905682876666</v>
          </cell>
          <cell r="F23">
            <v>7505.4308577184011</v>
          </cell>
          <cell r="G23">
            <v>549.66905682876666</v>
          </cell>
          <cell r="H23">
            <v>549.66905682876666</v>
          </cell>
          <cell r="I23">
            <v>6293.4206585445754</v>
          </cell>
          <cell r="J23">
            <v>549.6690568287662</v>
          </cell>
          <cell r="K23">
            <v>549.6690568287662</v>
          </cell>
          <cell r="L23">
            <v>5766.200264559543</v>
          </cell>
          <cell r="M23">
            <v>549.66905682876563</v>
          </cell>
          <cell r="N23">
            <v>549.66905682876563</v>
          </cell>
        </row>
        <row r="24">
          <cell r="C24">
            <v>2915992.3911505365</v>
          </cell>
          <cell r="D24">
            <v>329390.14703072852</v>
          </cell>
          <cell r="E24">
            <v>329390.14703072852</v>
          </cell>
          <cell r="F24">
            <v>4497642.6142957816</v>
          </cell>
          <cell r="G24">
            <v>329390.14703072852</v>
          </cell>
          <cell r="H24">
            <v>329390.14703072852</v>
          </cell>
          <cell r="I24">
            <v>3771343.3752375138</v>
          </cell>
          <cell r="J24">
            <v>329390.14703072817</v>
          </cell>
          <cell r="K24">
            <v>329390.14703072817</v>
          </cell>
          <cell r="L24">
            <v>3455405.6288156207</v>
          </cell>
          <cell r="M24">
            <v>329390.14703072788</v>
          </cell>
          <cell r="N24">
            <v>329390.14703072788</v>
          </cell>
        </row>
        <row r="25">
          <cell r="C25">
            <v>2249.6874019223055</v>
          </cell>
          <cell r="D25">
            <v>254.12441621632158</v>
          </cell>
          <cell r="E25">
            <v>254.12441621632158</v>
          </cell>
          <cell r="F25">
            <v>3469.9301542888597</v>
          </cell>
          <cell r="G25">
            <v>254.12441621632158</v>
          </cell>
          <cell r="H25">
            <v>254.12441621632158</v>
          </cell>
          <cell r="I25">
            <v>2909.5904726443368</v>
          </cell>
          <cell r="J25">
            <v>254.12441621632132</v>
          </cell>
          <cell r="K25">
            <v>254.12441621632132</v>
          </cell>
          <cell r="L25">
            <v>2665.8445801399271</v>
          </cell>
          <cell r="M25">
            <v>254.12441621632112</v>
          </cell>
          <cell r="N25">
            <v>254.12441621632112</v>
          </cell>
        </row>
        <row r="26">
          <cell r="C26">
            <v>61269.338825918327</v>
          </cell>
          <cell r="D26">
            <v>6920.9770867687066</v>
          </cell>
          <cell r="E26">
            <v>6920.9770867687066</v>
          </cell>
          <cell r="F26">
            <v>94502.16334221953</v>
          </cell>
          <cell r="G26">
            <v>6920.9770867687066</v>
          </cell>
          <cell r="H26">
            <v>6920.9770867687066</v>
          </cell>
          <cell r="I26">
            <v>79241.535673259888</v>
          </cell>
          <cell r="J26">
            <v>6920.9770867687012</v>
          </cell>
          <cell r="K26">
            <v>6920.9770867687012</v>
          </cell>
          <cell r="L26">
            <v>72603.21353903017</v>
          </cell>
          <cell r="M26">
            <v>6920.9770867686939</v>
          </cell>
          <cell r="N26">
            <v>6920.9770867686939</v>
          </cell>
        </row>
      </sheetData>
      <sheetData sheetId="24">
        <row r="7">
          <cell r="C7">
            <v>154257.12253206508</v>
          </cell>
          <cell r="D7">
            <v>120162.95703191035</v>
          </cell>
          <cell r="E7">
            <v>120162.95703191035</v>
          </cell>
          <cell r="F7">
            <v>181543.94365766429</v>
          </cell>
          <cell r="G7">
            <v>120162.95703191035</v>
          </cell>
          <cell r="H7">
            <v>120162.95703191035</v>
          </cell>
          <cell r="I7">
            <v>152643.60360410286</v>
          </cell>
          <cell r="J7">
            <v>120162.95703191037</v>
          </cell>
          <cell r="K7">
            <v>120162.95703191037</v>
          </cell>
          <cell r="L7">
            <v>159154.33645088488</v>
          </cell>
          <cell r="M7">
            <v>120162.9570319104</v>
          </cell>
          <cell r="N7">
            <v>120162.9570319104</v>
          </cell>
        </row>
        <row r="8">
          <cell r="C8">
            <v>62970.715773363561</v>
          </cell>
          <cell r="D8">
            <v>49052.82355549217</v>
          </cell>
          <cell r="E8">
            <v>49052.82355549217</v>
          </cell>
          <cell r="F8">
            <v>74109.719465731454</v>
          </cell>
          <cell r="G8">
            <v>49052.82355549217</v>
          </cell>
          <cell r="H8">
            <v>49052.82355549217</v>
          </cell>
          <cell r="I8">
            <v>62312.046402770757</v>
          </cell>
          <cell r="J8">
            <v>49052.823555492178</v>
          </cell>
          <cell r="K8">
            <v>49052.823555492178</v>
          </cell>
          <cell r="L8">
            <v>64969.852414196837</v>
          </cell>
          <cell r="M8">
            <v>49052.823555492192</v>
          </cell>
          <cell r="N8">
            <v>49052.823555492192</v>
          </cell>
        </row>
        <row r="9">
          <cell r="C9">
            <v>46065.825632863278</v>
          </cell>
          <cell r="D9">
            <v>35884.280319118436</v>
          </cell>
          <cell r="E9">
            <v>35884.280319118436</v>
          </cell>
          <cell r="F9">
            <v>54214.492763521666</v>
          </cell>
          <cell r="G9">
            <v>35884.280319118436</v>
          </cell>
          <cell r="H9">
            <v>35884.280319118436</v>
          </cell>
          <cell r="I9">
            <v>45583.980254375922</v>
          </cell>
          <cell r="J9">
            <v>35884.280319118443</v>
          </cell>
          <cell r="K9">
            <v>35884.280319118443</v>
          </cell>
          <cell r="L9">
            <v>47528.281296291651</v>
          </cell>
          <cell r="M9">
            <v>35884.28031911845</v>
          </cell>
          <cell r="N9">
            <v>35884.28031911845</v>
          </cell>
        </row>
        <row r="10">
          <cell r="C10">
            <v>372752.82759803126</v>
          </cell>
          <cell r="D10">
            <v>290366.37836204091</v>
          </cell>
          <cell r="E10">
            <v>290366.37836204091</v>
          </cell>
          <cell r="F10">
            <v>438689.74878372578</v>
          </cell>
          <cell r="G10">
            <v>290366.37836204091</v>
          </cell>
          <cell r="H10">
            <v>290366.37836204091</v>
          </cell>
          <cell r="I10">
            <v>368853.85857210611</v>
          </cell>
          <cell r="J10">
            <v>290366.37836204097</v>
          </cell>
          <cell r="K10">
            <v>290366.37836204097</v>
          </cell>
          <cell r="L10">
            <v>384586.6431498095</v>
          </cell>
          <cell r="M10">
            <v>290366.37836204102</v>
          </cell>
          <cell r="N10">
            <v>290366.37836204102</v>
          </cell>
        </row>
        <row r="11">
          <cell r="C11">
            <v>280198.55407879222</v>
          </cell>
          <cell r="D11">
            <v>218268.60414289468</v>
          </cell>
          <cell r="E11">
            <v>218268.60414289468</v>
          </cell>
          <cell r="F11">
            <v>329763.38258912717</v>
          </cell>
          <cell r="G11">
            <v>218268.60414289468</v>
          </cell>
          <cell r="H11">
            <v>218268.60414289468</v>
          </cell>
          <cell r="I11">
            <v>277267.69640964438</v>
          </cell>
          <cell r="J11">
            <v>218268.60414289474</v>
          </cell>
          <cell r="K11">
            <v>218268.60414289474</v>
          </cell>
          <cell r="L11">
            <v>289094.04127927852</v>
          </cell>
          <cell r="M11">
            <v>218268.60414289479</v>
          </cell>
          <cell r="N11">
            <v>218268.60414289479</v>
          </cell>
        </row>
        <row r="12">
          <cell r="C12">
            <v>136084.36563102729</v>
          </cell>
          <cell r="D12">
            <v>106006.77305280858</v>
          </cell>
          <cell r="E12">
            <v>106006.77305280858</v>
          </cell>
          <cell r="F12">
            <v>160156.57495278877</v>
          </cell>
          <cell r="G12">
            <v>106006.77305280858</v>
          </cell>
          <cell r="H12">
            <v>106006.77305280858</v>
          </cell>
          <cell r="I12">
            <v>134660.93249457842</v>
          </cell>
          <cell r="J12">
            <v>106006.7730528086</v>
          </cell>
          <cell r="K12">
            <v>106006.7730528086</v>
          </cell>
          <cell r="L12">
            <v>140404.6474991368</v>
          </cell>
          <cell r="M12">
            <v>106006.77305280862</v>
          </cell>
          <cell r="N12">
            <v>106006.77305280862</v>
          </cell>
        </row>
        <row r="13">
          <cell r="C13">
            <v>46911.070139888296</v>
          </cell>
          <cell r="D13">
            <v>36542.707480937126</v>
          </cell>
          <cell r="E13">
            <v>36542.707480937126</v>
          </cell>
          <cell r="F13">
            <v>55209.254098632155</v>
          </cell>
          <cell r="G13">
            <v>36542.707480937126</v>
          </cell>
          <cell r="H13">
            <v>36542.707480937126</v>
          </cell>
          <cell r="I13">
            <v>46420.383561795665</v>
          </cell>
          <cell r="J13">
            <v>36542.707480937126</v>
          </cell>
          <cell r="K13">
            <v>36542.707480937126</v>
          </cell>
          <cell r="L13">
            <v>48400.359852186913</v>
          </cell>
          <cell r="M13">
            <v>36542.707480937141</v>
          </cell>
          <cell r="N13">
            <v>36542.707480937141</v>
          </cell>
        </row>
        <row r="14">
          <cell r="C14">
            <v>114530.63070188943</v>
          </cell>
          <cell r="D14">
            <v>89216.880426432064</v>
          </cell>
          <cell r="E14">
            <v>89216.880426432064</v>
          </cell>
          <cell r="F14">
            <v>134790.16090747129</v>
          </cell>
          <cell r="G14">
            <v>89216.880426432064</v>
          </cell>
          <cell r="H14">
            <v>89216.880426432064</v>
          </cell>
          <cell r="I14">
            <v>113332.64815537501</v>
          </cell>
          <cell r="J14">
            <v>89216.880426432079</v>
          </cell>
          <cell r="K14">
            <v>89216.880426432079</v>
          </cell>
          <cell r="L14">
            <v>118166.64432380768</v>
          </cell>
          <cell r="M14">
            <v>89216.880426432108</v>
          </cell>
          <cell r="N14">
            <v>89216.880426432108</v>
          </cell>
        </row>
        <row r="15">
          <cell r="C15">
            <v>71423.160843613703</v>
          </cell>
          <cell r="D15">
            <v>55637.095173679038</v>
          </cell>
          <cell r="E15">
            <v>55637.095173679038</v>
          </cell>
          <cell r="F15">
            <v>84057.332816836337</v>
          </cell>
          <cell r="G15">
            <v>55637.095173679038</v>
          </cell>
          <cell r="H15">
            <v>55637.095173679038</v>
          </cell>
          <cell r="I15">
            <v>70676.079476968167</v>
          </cell>
          <cell r="J15">
            <v>55637.095173679045</v>
          </cell>
          <cell r="K15">
            <v>55637.095173679045</v>
          </cell>
          <cell r="L15">
            <v>73690.637973149423</v>
          </cell>
          <cell r="M15">
            <v>55637.095173679059</v>
          </cell>
          <cell r="N15">
            <v>55637.095173679059</v>
          </cell>
        </row>
        <row r="16">
          <cell r="C16">
            <v>53673.026196088402</v>
          </cell>
          <cell r="D16">
            <v>41810.124775486613</v>
          </cell>
          <cell r="E16">
            <v>41810.124775486613</v>
          </cell>
          <cell r="F16">
            <v>63167.344779516068</v>
          </cell>
          <cell r="G16">
            <v>41810.124775486613</v>
          </cell>
          <cell r="H16">
            <v>41810.124775486613</v>
          </cell>
          <cell r="I16">
            <v>53111.610021153596</v>
          </cell>
          <cell r="J16">
            <v>41810.12477548662</v>
          </cell>
          <cell r="K16">
            <v>41810.12477548662</v>
          </cell>
          <cell r="L16">
            <v>55376.988299348981</v>
          </cell>
          <cell r="M16">
            <v>41810.124775486634</v>
          </cell>
          <cell r="N16">
            <v>41810.124775486634</v>
          </cell>
        </row>
        <row r="17">
          <cell r="C17">
            <v>143268.9439407399</v>
          </cell>
          <cell r="D17">
            <v>111603.40392826742</v>
          </cell>
          <cell r="E17">
            <v>111603.40392826742</v>
          </cell>
          <cell r="F17">
            <v>168612.04630122794</v>
          </cell>
          <cell r="G17">
            <v>111603.40392826742</v>
          </cell>
          <cell r="H17">
            <v>111603.40392826742</v>
          </cell>
          <cell r="I17">
            <v>141770.36060764623</v>
          </cell>
          <cell r="J17">
            <v>111603.40392826743</v>
          </cell>
          <cell r="K17">
            <v>111603.40392826743</v>
          </cell>
          <cell r="L17">
            <v>147817.3152242465</v>
          </cell>
          <cell r="M17">
            <v>111603.40392826746</v>
          </cell>
          <cell r="N17">
            <v>111603.40392826746</v>
          </cell>
        </row>
        <row r="18">
          <cell r="C18">
            <v>93399.518026264079</v>
          </cell>
          <cell r="D18">
            <v>72756.201380964907</v>
          </cell>
          <cell r="E18">
            <v>72756.201380964907</v>
          </cell>
          <cell r="F18">
            <v>109921.12752970908</v>
          </cell>
          <cell r="G18">
            <v>72756.201380964907</v>
          </cell>
          <cell r="H18">
            <v>72756.201380964907</v>
          </cell>
          <cell r="I18">
            <v>92422.565469881461</v>
          </cell>
          <cell r="J18">
            <v>72756.201380964922</v>
          </cell>
          <cell r="K18">
            <v>72756.201380964922</v>
          </cell>
          <cell r="L18">
            <v>96364.680426426188</v>
          </cell>
          <cell r="M18">
            <v>72756.201380964936</v>
          </cell>
          <cell r="N18">
            <v>72756.201380964936</v>
          </cell>
        </row>
        <row r="19">
          <cell r="C19">
            <v>166935.79013744032</v>
          </cell>
          <cell r="D19">
            <v>130039.36445919066</v>
          </cell>
          <cell r="E19">
            <v>130039.36445919066</v>
          </cell>
          <cell r="F19">
            <v>196465.36368432164</v>
          </cell>
          <cell r="G19">
            <v>130039.36445919066</v>
          </cell>
          <cell r="H19">
            <v>130039.36445919066</v>
          </cell>
          <cell r="I19">
            <v>165189.65321539898</v>
          </cell>
          <cell r="J19">
            <v>130039.36445919068</v>
          </cell>
          <cell r="K19">
            <v>130039.36445919068</v>
          </cell>
          <cell r="L19">
            <v>172235.51478931378</v>
          </cell>
          <cell r="M19">
            <v>130039.36445919071</v>
          </cell>
          <cell r="N19">
            <v>130039.36445919071</v>
          </cell>
        </row>
        <row r="20">
          <cell r="C20">
            <v>31696.669013438033</v>
          </cell>
          <cell r="D20">
            <v>24691.018568200758</v>
          </cell>
          <cell r="E20">
            <v>24691.018568200758</v>
          </cell>
          <cell r="F20">
            <v>37303.550066643344</v>
          </cell>
          <cell r="G20">
            <v>24691.018568200758</v>
          </cell>
          <cell r="H20">
            <v>24691.018568200758</v>
          </cell>
          <cell r="I20">
            <v>31365.124028240312</v>
          </cell>
          <cell r="J20">
            <v>24691.018568200761</v>
          </cell>
          <cell r="K20">
            <v>24691.018568200761</v>
          </cell>
          <cell r="L20">
            <v>32702.945846072234</v>
          </cell>
          <cell r="M20">
            <v>24691.018568200769</v>
          </cell>
          <cell r="N20">
            <v>24691.018568200769</v>
          </cell>
        </row>
        <row r="21">
          <cell r="C21">
            <v>96357.873800851623</v>
          </cell>
          <cell r="D21">
            <v>75060.696447330309</v>
          </cell>
          <cell r="E21">
            <v>75060.696447330309</v>
          </cell>
          <cell r="F21">
            <v>113402.79220259578</v>
          </cell>
          <cell r="G21">
            <v>75060.696447330309</v>
          </cell>
          <cell r="H21">
            <v>75060.696447330309</v>
          </cell>
          <cell r="I21">
            <v>95349.977045850552</v>
          </cell>
          <cell r="J21">
            <v>75060.696447330323</v>
          </cell>
          <cell r="K21">
            <v>75060.696447330323</v>
          </cell>
          <cell r="L21">
            <v>99416.955372059601</v>
          </cell>
          <cell r="M21">
            <v>75060.696447330338</v>
          </cell>
          <cell r="N21">
            <v>75060.696447330338</v>
          </cell>
        </row>
        <row r="22">
          <cell r="C22">
            <v>375288.56111910637</v>
          </cell>
          <cell r="D22">
            <v>292341.65984749701</v>
          </cell>
          <cell r="E22">
            <v>292341.65984749701</v>
          </cell>
          <cell r="F22">
            <v>441674.03278905724</v>
          </cell>
          <cell r="G22">
            <v>292341.65984749701</v>
          </cell>
          <cell r="H22">
            <v>292341.65984749701</v>
          </cell>
          <cell r="I22">
            <v>371363.06849436532</v>
          </cell>
          <cell r="J22">
            <v>292341.65984749701</v>
          </cell>
          <cell r="K22">
            <v>292341.65984749701</v>
          </cell>
          <cell r="L22">
            <v>387202.87881749531</v>
          </cell>
          <cell r="M22">
            <v>292341.65984749713</v>
          </cell>
          <cell r="N22">
            <v>292341.65984749713</v>
          </cell>
        </row>
        <row r="23">
          <cell r="C23">
            <v>165667.92337690279</v>
          </cell>
          <cell r="D23">
            <v>129051.72371646263</v>
          </cell>
          <cell r="E23">
            <v>129051.72371646263</v>
          </cell>
          <cell r="F23">
            <v>194973.22168165588</v>
          </cell>
          <cell r="G23">
            <v>129051.72371646263</v>
          </cell>
          <cell r="H23">
            <v>129051.72371646263</v>
          </cell>
          <cell r="I23">
            <v>163935.04825426938</v>
          </cell>
          <cell r="J23">
            <v>129051.72371646264</v>
          </cell>
          <cell r="K23">
            <v>129051.72371646264</v>
          </cell>
          <cell r="L23">
            <v>170927.39695547087</v>
          </cell>
          <cell r="M23">
            <v>129051.72371646267</v>
          </cell>
          <cell r="N23">
            <v>129051.72371646267</v>
          </cell>
        </row>
        <row r="24">
          <cell r="C24">
            <v>1496928.0219413002</v>
          </cell>
          <cell r="D24">
            <v>1166074.5035808946</v>
          </cell>
          <cell r="E24">
            <v>1166074.5035808946</v>
          </cell>
          <cell r="F24">
            <v>1761722.3244806766</v>
          </cell>
          <cell r="G24">
            <v>1166074.5035808946</v>
          </cell>
          <cell r="H24">
            <v>1166074.5035808946</v>
          </cell>
          <cell r="I24">
            <v>1481270.2574403626</v>
          </cell>
          <cell r="J24">
            <v>1166074.5035808946</v>
          </cell>
          <cell r="K24">
            <v>1166074.5035808946</v>
          </cell>
          <cell r="L24">
            <v>1544451.1224905048</v>
          </cell>
          <cell r="M24">
            <v>1166074.503580895</v>
          </cell>
          <cell r="N24">
            <v>1166074.503580895</v>
          </cell>
        </row>
        <row r="25">
          <cell r="C25">
            <v>126786.67605375213</v>
          </cell>
          <cell r="D25">
            <v>98764.074272803031</v>
          </cell>
          <cell r="E25">
            <v>98764.074272803031</v>
          </cell>
          <cell r="F25">
            <v>149214.20026657337</v>
          </cell>
          <cell r="G25">
            <v>98764.074272803031</v>
          </cell>
          <cell r="H25">
            <v>98764.074272803031</v>
          </cell>
          <cell r="I25">
            <v>125460.49611296125</v>
          </cell>
          <cell r="J25">
            <v>98764.074272803045</v>
          </cell>
          <cell r="K25">
            <v>98764.074272803045</v>
          </cell>
          <cell r="L25">
            <v>130811.78338428894</v>
          </cell>
          <cell r="M25">
            <v>98764.074272803075</v>
          </cell>
          <cell r="N25">
            <v>98764.074272803075</v>
          </cell>
        </row>
        <row r="26">
          <cell r="C26">
            <v>191025.2585876532</v>
          </cell>
          <cell r="D26">
            <v>148804.53857102324</v>
          </cell>
          <cell r="E26">
            <v>148804.53857102324</v>
          </cell>
          <cell r="F26">
            <v>224816.06173497057</v>
          </cell>
          <cell r="G26">
            <v>148804.53857102324</v>
          </cell>
          <cell r="H26">
            <v>148804.53857102324</v>
          </cell>
          <cell r="I26">
            <v>189027.1474768616</v>
          </cell>
          <cell r="J26">
            <v>148804.53857102324</v>
          </cell>
          <cell r="K26">
            <v>148804.53857102324</v>
          </cell>
          <cell r="L26">
            <v>197089.75363232865</v>
          </cell>
          <cell r="M26">
            <v>148804.53857102329</v>
          </cell>
          <cell r="N26">
            <v>148804.53857102329</v>
          </cell>
        </row>
      </sheetData>
      <sheetData sheetId="25">
        <row r="7">
          <cell r="C7">
            <v>49487.569592003689</v>
          </cell>
          <cell r="D7">
            <v>49987.097107952257</v>
          </cell>
          <cell r="E7">
            <v>30112.873538488253</v>
          </cell>
          <cell r="F7">
            <v>45260.099645168193</v>
          </cell>
          <cell r="G7">
            <v>35324.261531033699</v>
          </cell>
          <cell r="H7">
            <v>45263.973569863534</v>
          </cell>
          <cell r="I7">
            <v>34344.134353426532</v>
          </cell>
          <cell r="J7">
            <v>37587.581978728987</v>
          </cell>
          <cell r="K7">
            <v>39211.654630915633</v>
          </cell>
          <cell r="L7">
            <v>27817.594228389535</v>
          </cell>
          <cell r="M7">
            <v>35640.607055877183</v>
          </cell>
          <cell r="N7">
            <v>57223.573424771588</v>
          </cell>
        </row>
        <row r="8">
          <cell r="C8">
            <v>21160.443854843212</v>
          </cell>
          <cell r="D8">
            <v>21374.03737019109</v>
          </cell>
          <cell r="E8">
            <v>12875.996438550803</v>
          </cell>
          <cell r="F8">
            <v>19352.815369638636</v>
          </cell>
          <cell r="G8">
            <v>15104.339514018397</v>
          </cell>
          <cell r="H8">
            <v>19354.471825324166</v>
          </cell>
          <cell r="I8">
            <v>14685.245865181909</v>
          </cell>
          <cell r="J8">
            <v>16072.115172710543</v>
          </cell>
          <cell r="K8">
            <v>16766.554169333536</v>
          </cell>
          <cell r="L8">
            <v>11894.555455028039</v>
          </cell>
          <cell r="M8">
            <v>15239.606042004507</v>
          </cell>
          <cell r="N8">
            <v>24468.290170872187</v>
          </cell>
        </row>
        <row r="9">
          <cell r="C9">
            <v>15719.452285899188</v>
          </cell>
          <cell r="D9">
            <v>15878.124433615974</v>
          </cell>
          <cell r="E9">
            <v>9565.1874335746015</v>
          </cell>
          <cell r="F9">
            <v>14376.619880363331</v>
          </cell>
          <cell r="G9">
            <v>11220.555954750937</v>
          </cell>
          <cell r="H9">
            <v>14377.850411078611</v>
          </cell>
          <cell r="I9">
            <v>10909.223987359303</v>
          </cell>
          <cell r="J9">
            <v>11939.487154617234</v>
          </cell>
          <cell r="K9">
            <v>12455.364834110445</v>
          </cell>
          <cell r="L9">
            <v>8836.1046781398236</v>
          </cell>
          <cell r="M9">
            <v>11321.04135794678</v>
          </cell>
          <cell r="N9">
            <v>18176.751040622788</v>
          </cell>
        </row>
        <row r="10">
          <cell r="C10">
            <v>199295.26000199773</v>
          </cell>
          <cell r="D10">
            <v>201306.94631009252</v>
          </cell>
          <cell r="E10">
            <v>121269.90698347015</v>
          </cell>
          <cell r="F10">
            <v>182270.48531309591</v>
          </cell>
          <cell r="G10">
            <v>142257.09494821221</v>
          </cell>
          <cell r="H10">
            <v>182286.08629806549</v>
          </cell>
          <cell r="I10">
            <v>138309.94817364504</v>
          </cell>
          <cell r="J10">
            <v>151371.88964938815</v>
          </cell>
          <cell r="K10">
            <v>157912.31958256412</v>
          </cell>
          <cell r="L10">
            <v>112026.40824924974</v>
          </cell>
          <cell r="M10">
            <v>143531.07474038887</v>
          </cell>
          <cell r="N10">
            <v>230449.52576891161</v>
          </cell>
        </row>
        <row r="11">
          <cell r="C11">
            <v>100171.56265789412</v>
          </cell>
          <cell r="D11">
            <v>101182.69438805831</v>
          </cell>
          <cell r="E11">
            <v>60953.76320435269</v>
          </cell>
          <cell r="F11">
            <v>91614.418426421864</v>
          </cell>
          <cell r="G11">
            <v>71502.530968333071</v>
          </cell>
          <cell r="H11">
            <v>91622.259932754678</v>
          </cell>
          <cell r="I11">
            <v>69518.580820976335</v>
          </cell>
          <cell r="J11">
            <v>76083.890447296755</v>
          </cell>
          <cell r="K11">
            <v>79371.29972564154</v>
          </cell>
          <cell r="L11">
            <v>56307.713355380649</v>
          </cell>
          <cell r="M11">
            <v>72142.870064082934</v>
          </cell>
          <cell r="N11">
            <v>115830.59782661723</v>
          </cell>
        </row>
        <row r="12">
          <cell r="C12">
            <v>56391.59976998972</v>
          </cell>
          <cell r="D12">
            <v>56960.816564948676</v>
          </cell>
          <cell r="E12">
            <v>34313.932296669678</v>
          </cell>
          <cell r="F12">
            <v>51574.353838394658</v>
          </cell>
          <cell r="G12">
            <v>40252.3630651356</v>
          </cell>
          <cell r="H12">
            <v>51578.768215838529</v>
          </cell>
          <cell r="I12">
            <v>39135.497961858346</v>
          </cell>
          <cell r="J12">
            <v>42831.44023319862</v>
          </cell>
          <cell r="K12">
            <v>44682.087895925892</v>
          </cell>
          <cell r="L12">
            <v>31698.437672816915</v>
          </cell>
          <cell r="M12">
            <v>40612.842077806352</v>
          </cell>
          <cell r="N12">
            <v>65206.856521395093</v>
          </cell>
        </row>
        <row r="13">
          <cell r="C13">
            <v>16731.521396397518</v>
          </cell>
          <cell r="D13">
            <v>16900.409369480225</v>
          </cell>
          <cell r="E13">
            <v>10181.025095191573</v>
          </cell>
          <cell r="F13">
            <v>15302.233103372624</v>
          </cell>
          <cell r="G13">
            <v>11942.971588443737</v>
          </cell>
          <cell r="H13">
            <v>15303.542859629853</v>
          </cell>
          <cell r="I13">
            <v>11611.595063418856</v>
          </cell>
          <cell r="J13">
            <v>12708.189901036654</v>
          </cell>
          <cell r="K13">
            <v>13257.28145177136</v>
          </cell>
          <cell r="L13">
            <v>9405.0016370941157</v>
          </cell>
          <cell r="M13">
            <v>12049.926566455597</v>
          </cell>
          <cell r="N13">
            <v>19347.028981790918</v>
          </cell>
        </row>
        <row r="14">
          <cell r="C14">
            <v>39018.096574505122</v>
          </cell>
          <cell r="D14">
            <v>39411.945232250742</v>
          </cell>
          <cell r="E14">
            <v>23742.265331422641</v>
          </cell>
          <cell r="F14">
            <v>35684.980157365528</v>
          </cell>
          <cell r="G14">
            <v>27851.144422813915</v>
          </cell>
          <cell r="H14">
            <v>35688.034523727249</v>
          </cell>
          <cell r="I14">
            <v>27078.3706295874</v>
          </cell>
          <cell r="J14">
            <v>29635.64215699839</v>
          </cell>
          <cell r="K14">
            <v>30916.12984531013</v>
          </cell>
          <cell r="L14">
            <v>21932.569876074063</v>
          </cell>
          <cell r="M14">
            <v>28100.564637648022</v>
          </cell>
          <cell r="N14">
            <v>45117.48975821185</v>
          </cell>
        </row>
        <row r="15">
          <cell r="C15">
            <v>24644.957510019882</v>
          </cell>
          <cell r="D15">
            <v>24893.723705392451</v>
          </cell>
          <cell r="E15">
            <v>14996.300989906767</v>
          </cell>
          <cell r="F15">
            <v>22539.664846153002</v>
          </cell>
          <cell r="G15">
            <v>17591.587780173049</v>
          </cell>
          <cell r="H15">
            <v>22541.594072225344</v>
          </cell>
          <cell r="I15">
            <v>17103.481517414744</v>
          </cell>
          <cell r="J15">
            <v>18718.728125210775</v>
          </cell>
          <cell r="K15">
            <v>19527.521158215019</v>
          </cell>
          <cell r="L15">
            <v>13853.245035909164</v>
          </cell>
          <cell r="M15">
            <v>17749.128796685451</v>
          </cell>
          <cell r="N15">
            <v>28497.510531470383</v>
          </cell>
        </row>
        <row r="16">
          <cell r="C16">
            <v>18987.763139484818</v>
          </cell>
          <cell r="D16">
            <v>19179.425616197335</v>
          </cell>
          <cell r="E16">
            <v>11553.933945676406</v>
          </cell>
          <cell r="F16">
            <v>17365.735654773322</v>
          </cell>
          <cell r="G16">
            <v>13553.478511033225</v>
          </cell>
          <cell r="H16">
            <v>17367.222031355192</v>
          </cell>
          <cell r="I16">
            <v>13177.415939191267</v>
          </cell>
          <cell r="J16">
            <v>14421.886333924875</v>
          </cell>
          <cell r="K16">
            <v>15045.022751721752</v>
          </cell>
          <cell r="L16">
            <v>10673.263905938657</v>
          </cell>
          <cell r="M16">
            <v>13674.856342789475</v>
          </cell>
          <cell r="N16">
            <v>21955.971310420704</v>
          </cell>
        </row>
        <row r="17">
          <cell r="C17">
            <v>44967.112246977573</v>
          </cell>
          <cell r="D17">
            <v>45421.010267537116</v>
          </cell>
          <cell r="E17">
            <v>27362.203794769477</v>
          </cell>
          <cell r="F17">
            <v>41125.801849491567</v>
          </cell>
          <cell r="G17">
            <v>32097.555939870734</v>
          </cell>
          <cell r="H17">
            <v>41129.321909337865</v>
          </cell>
          <cell r="I17">
            <v>31206.958782339352</v>
          </cell>
          <cell r="J17">
            <v>34154.132681494324</v>
          </cell>
          <cell r="K17">
            <v>35629.853915133644</v>
          </cell>
          <cell r="L17">
            <v>25276.587482909788</v>
          </cell>
          <cell r="M17">
            <v>32385.004784939178</v>
          </cell>
          <cell r="N17">
            <v>51996.468417811469</v>
          </cell>
        </row>
        <row r="18">
          <cell r="C18">
            <v>32819.71374054248</v>
          </cell>
          <cell r="D18">
            <v>33150.995923404123</v>
          </cell>
          <cell r="E18">
            <v>19970.588525285591</v>
          </cell>
          <cell r="F18">
            <v>30016.09346487014</v>
          </cell>
          <cell r="G18">
            <v>23426.734452764689</v>
          </cell>
          <cell r="H18">
            <v>30018.662617095677</v>
          </cell>
          <cell r="I18">
            <v>22776.72287079379</v>
          </cell>
          <cell r="J18">
            <v>24927.74833986571</v>
          </cell>
          <cell r="K18">
            <v>26004.818803783219</v>
          </cell>
          <cell r="L18">
            <v>18448.379806346969</v>
          </cell>
          <cell r="M18">
            <v>23636.531976750233</v>
          </cell>
          <cell r="N18">
            <v>37950.162323497476</v>
          </cell>
        </row>
        <row r="19">
          <cell r="C19">
            <v>58334.808806650515</v>
          </cell>
          <cell r="D19">
            <v>58923.640353173447</v>
          </cell>
          <cell r="E19">
            <v>35496.362722375401</v>
          </cell>
          <cell r="F19">
            <v>53351.564466351432</v>
          </cell>
          <cell r="G19">
            <v>41639.427024557961</v>
          </cell>
          <cell r="H19">
            <v>53356.130959680908</v>
          </cell>
          <cell r="I19">
            <v>40484.075650802981</v>
          </cell>
          <cell r="J19">
            <v>44307.377111276721</v>
          </cell>
          <cell r="K19">
            <v>46221.796599533947</v>
          </cell>
          <cell r="L19">
            <v>32790.740263718537</v>
          </cell>
          <cell r="M19">
            <v>42012.327853204952</v>
          </cell>
          <cell r="N19">
            <v>67453.832194393326</v>
          </cell>
        </row>
        <row r="20">
          <cell r="C20">
            <v>9946.8484494325839</v>
          </cell>
          <cell r="D20">
            <v>10047.251935367056</v>
          </cell>
          <cell r="E20">
            <v>6052.5944582388584</v>
          </cell>
          <cell r="F20">
            <v>9097.1400634200691</v>
          </cell>
          <cell r="G20">
            <v>7100.0673287072887</v>
          </cell>
          <cell r="H20">
            <v>9097.9187103038566</v>
          </cell>
          <cell r="I20">
            <v>6903.0647970169075</v>
          </cell>
          <cell r="J20">
            <v>7554.9877394555397</v>
          </cell>
          <cell r="K20">
            <v>7881.4213201577695</v>
          </cell>
          <cell r="L20">
            <v>5591.2504149791703</v>
          </cell>
          <cell r="M20">
            <v>7163.6518009134707</v>
          </cell>
          <cell r="N20">
            <v>11501.761296500457</v>
          </cell>
        </row>
        <row r="21">
          <cell r="C21">
            <v>31140.456664174955</v>
          </cell>
          <cell r="D21">
            <v>31454.788426498406</v>
          </cell>
          <cell r="E21">
            <v>18948.771200325715</v>
          </cell>
          <cell r="F21">
            <v>28480.286731323682</v>
          </cell>
          <cell r="G21">
            <v>22228.079585845735</v>
          </cell>
          <cell r="H21">
            <v>28482.724430024391</v>
          </cell>
          <cell r="I21">
            <v>21611.326567839613</v>
          </cell>
          <cell r="J21">
            <v>23652.292431610233</v>
          </cell>
          <cell r="K21">
            <v>24674.253389924535</v>
          </cell>
          <cell r="L21">
            <v>17504.447979816297</v>
          </cell>
          <cell r="M21">
            <v>22427.142586686368</v>
          </cell>
          <cell r="N21">
            <v>36008.400151687129</v>
          </cell>
        </row>
        <row r="22">
          <cell r="C22">
            <v>129750.83488649508</v>
          </cell>
          <cell r="D22">
            <v>131060.53978365325</v>
          </cell>
          <cell r="E22">
            <v>78952.563535907117</v>
          </cell>
          <cell r="F22">
            <v>118666.88472321804</v>
          </cell>
          <cell r="G22">
            <v>92616.236020229044</v>
          </cell>
          <cell r="H22">
            <v>118677.04171754312</v>
          </cell>
          <cell r="I22">
            <v>90046.452928476167</v>
          </cell>
          <cell r="J22">
            <v>98550.40737124224</v>
          </cell>
          <cell r="K22">
            <v>102808.54298539432</v>
          </cell>
          <cell r="L22">
            <v>72934.599646423056</v>
          </cell>
          <cell r="M22">
            <v>93445.658364050905</v>
          </cell>
          <cell r="N22">
            <v>150033.76581767882</v>
          </cell>
        </row>
        <row r="23">
          <cell r="C23">
            <v>52682.925120104977</v>
          </cell>
          <cell r="D23">
            <v>53214.706554010809</v>
          </cell>
          <cell r="E23">
            <v>32057.227195810941</v>
          </cell>
          <cell r="F23">
            <v>48182.492294391595</v>
          </cell>
          <cell r="G23">
            <v>37605.108525336742</v>
          </cell>
          <cell r="H23">
            <v>48186.616353954996</v>
          </cell>
          <cell r="I23">
            <v>36561.695661626378</v>
          </cell>
          <cell r="J23">
            <v>40014.568974734124</v>
          </cell>
          <cell r="K23">
            <v>41743.506132694376</v>
          </cell>
          <cell r="L23">
            <v>29613.74433697206</v>
          </cell>
          <cell r="M23">
            <v>37941.880117371082</v>
          </cell>
          <cell r="N23">
            <v>60918.433834932017</v>
          </cell>
        </row>
        <row r="24">
          <cell r="C24">
            <v>548619.70823383552</v>
          </cell>
          <cell r="D24">
            <v>554157.47544111335</v>
          </cell>
          <cell r="E24">
            <v>333831.62743634178</v>
          </cell>
          <cell r="F24">
            <v>501753.93268815277</v>
          </cell>
          <cell r="G24">
            <v>391605.12861118175</v>
          </cell>
          <cell r="H24">
            <v>501796.8790573845</v>
          </cell>
          <cell r="I24">
            <v>380739.42858501227</v>
          </cell>
          <cell r="J24">
            <v>416696.32249868475</v>
          </cell>
          <cell r="K24">
            <v>434700.80871489929</v>
          </cell>
          <cell r="L24">
            <v>308386.13726975681</v>
          </cell>
          <cell r="M24">
            <v>395112.13837083563</v>
          </cell>
          <cell r="N24">
            <v>634381.12671971601</v>
          </cell>
        </row>
        <row r="25">
          <cell r="C25">
            <v>40542.153219355918</v>
          </cell>
          <cell r="D25">
            <v>40951.3857045201</v>
          </cell>
          <cell r="E25">
            <v>24669.644174034063</v>
          </cell>
          <cell r="F25">
            <v>37078.8444384268</v>
          </cell>
          <cell r="G25">
            <v>28939.017113969843</v>
          </cell>
          <cell r="H25">
            <v>37082.018109105185</v>
          </cell>
          <cell r="I25">
            <v>28136.058582431338</v>
          </cell>
          <cell r="J25">
            <v>30793.217777519716</v>
          </cell>
          <cell r="K25">
            <v>32123.721636310056</v>
          </cell>
          <cell r="L25">
            <v>22789.261560007366</v>
          </cell>
          <cell r="M25">
            <v>29198.17974499414</v>
          </cell>
          <cell r="N25">
            <v>46879.790231626539</v>
          </cell>
        </row>
        <row r="26">
          <cell r="C26">
            <v>76160.66008531324</v>
          </cell>
          <cell r="D26">
            <v>76929.425770495873</v>
          </cell>
          <cell r="E26">
            <v>46343.28063925376</v>
          </cell>
          <cell r="F26">
            <v>69654.644447522864</v>
          </cell>
          <cell r="G26">
            <v>54363.532042690422</v>
          </cell>
          <cell r="H26">
            <v>69660.606362087477</v>
          </cell>
          <cell r="I26">
            <v>52855.130368703605</v>
          </cell>
          <cell r="J26">
            <v>57846.74976185101</v>
          </cell>
          <cell r="K26">
            <v>60346.174288793758</v>
          </cell>
          <cell r="L26">
            <v>42810.878689057223</v>
          </cell>
          <cell r="M26">
            <v>54850.383269892474</v>
          </cell>
          <cell r="N26">
            <v>88066.259070746484</v>
          </cell>
        </row>
      </sheetData>
      <sheetData sheetId="26">
        <row r="7">
          <cell r="C7">
            <v>108515.59232688899</v>
          </cell>
          <cell r="D7">
            <v>109186.11860558472</v>
          </cell>
          <cell r="E7">
            <v>124058.65010120287</v>
          </cell>
          <cell r="F7">
            <v>119027.88731383004</v>
          </cell>
          <cell r="G7">
            <v>127038.63635508782</v>
          </cell>
          <cell r="H7">
            <v>122051.48316272711</v>
          </cell>
          <cell r="I7">
            <v>126529.47708009076</v>
          </cell>
          <cell r="J7">
            <v>125596.10193680914</v>
          </cell>
          <cell r="K7">
            <v>119822.41502762708</v>
          </cell>
          <cell r="L7">
            <v>126138.19845114372</v>
          </cell>
          <cell r="M7">
            <v>121486.08657087667</v>
          </cell>
          <cell r="N7">
            <v>89422.97806813092</v>
          </cell>
        </row>
        <row r="8">
          <cell r="C8">
            <v>44298.145908784827</v>
          </cell>
          <cell r="D8">
            <v>44571.867595156502</v>
          </cell>
          <cell r="E8">
            <v>50643.120178299265</v>
          </cell>
          <cell r="F8">
            <v>48589.466328111448</v>
          </cell>
          <cell r="G8">
            <v>51859.607717556399</v>
          </cell>
          <cell r="H8">
            <v>49823.756140400932</v>
          </cell>
          <cell r="I8">
            <v>51651.759136804176</v>
          </cell>
          <cell r="J8">
            <v>51270.737502971402</v>
          </cell>
          <cell r="K8">
            <v>48913.807778401198</v>
          </cell>
          <cell r="L8">
            <v>51492.03169649429</v>
          </cell>
          <cell r="M8">
            <v>49592.950408385273</v>
          </cell>
          <cell r="N8">
            <v>36504.174608634268</v>
          </cell>
        </row>
        <row r="9">
          <cell r="C9">
            <v>32406.026201728495</v>
          </cell>
          <cell r="D9">
            <v>32606.265556188315</v>
          </cell>
          <cell r="E9">
            <v>37047.651674057852</v>
          </cell>
          <cell r="F9">
            <v>35545.314293719115</v>
          </cell>
          <cell r="G9">
            <v>37937.565377272804</v>
          </cell>
          <cell r="H9">
            <v>36448.251136266452</v>
          </cell>
          <cell r="I9">
            <v>37785.515073232586</v>
          </cell>
          <cell r="J9">
            <v>37506.781126334783</v>
          </cell>
          <cell r="K9">
            <v>35782.584213729737</v>
          </cell>
          <cell r="L9">
            <v>37668.667482670317</v>
          </cell>
          <cell r="M9">
            <v>36279.406674590566</v>
          </cell>
          <cell r="N9">
            <v>26704.396190208961</v>
          </cell>
        </row>
        <row r="10">
          <cell r="C10">
            <v>262221.23954059207</v>
          </cell>
          <cell r="D10">
            <v>263841.52495924855</v>
          </cell>
          <cell r="E10">
            <v>299780.08051852317</v>
          </cell>
          <cell r="F10">
            <v>287623.55235835095</v>
          </cell>
          <cell r="G10">
            <v>306981.03360325331</v>
          </cell>
          <cell r="H10">
            <v>294929.88534116524</v>
          </cell>
          <cell r="I10">
            <v>305750.68160175357</v>
          </cell>
          <cell r="J10">
            <v>303495.23810483742</v>
          </cell>
          <cell r="K10">
            <v>289543.47960100573</v>
          </cell>
          <cell r="L10">
            <v>304805.18091481854</v>
          </cell>
          <cell r="M10">
            <v>293563.6393301732</v>
          </cell>
          <cell r="N10">
            <v>216085.114126278</v>
          </cell>
        </row>
        <row r="11">
          <cell r="C11">
            <v>197111.88414445863</v>
          </cell>
          <cell r="D11">
            <v>198329.85379589771</v>
          </cell>
          <cell r="E11">
            <v>225344.8904578014</v>
          </cell>
          <cell r="F11">
            <v>216206.81997005295</v>
          </cell>
          <cell r="G11">
            <v>230757.8517902006</v>
          </cell>
          <cell r="H11">
            <v>221698.99544352895</v>
          </cell>
          <cell r="I11">
            <v>229832.99535369911</v>
          </cell>
          <cell r="J11">
            <v>228137.57694275194</v>
          </cell>
          <cell r="K11">
            <v>217650.03058442948</v>
          </cell>
          <cell r="L11">
            <v>229122.2618441323</v>
          </cell>
          <cell r="M11">
            <v>220671.98738764721</v>
          </cell>
          <cell r="N11">
            <v>162431.32728539946</v>
          </cell>
        </row>
        <row r="12">
          <cell r="C12">
            <v>95731.563641803441</v>
          </cell>
          <cell r="D12">
            <v>96323.096413693915</v>
          </cell>
          <cell r="E12">
            <v>109443.52145914338</v>
          </cell>
          <cell r="F12">
            <v>105005.42387685829</v>
          </cell>
          <cell r="G12">
            <v>112072.44083928295</v>
          </cell>
          <cell r="H12">
            <v>107672.81528328254</v>
          </cell>
          <cell r="I12">
            <v>111623.26471175131</v>
          </cell>
          <cell r="J12">
            <v>110799.84883192478</v>
          </cell>
          <cell r="K12">
            <v>105706.34969560527</v>
          </cell>
          <cell r="L12">
            <v>111278.08192128297</v>
          </cell>
          <cell r="M12">
            <v>107174.02705704737</v>
          </cell>
          <cell r="N12">
            <v>78888.216268323711</v>
          </cell>
        </row>
        <row r="13">
          <cell r="C13">
            <v>33000.632187081312</v>
          </cell>
          <cell r="D13">
            <v>33204.545658136725</v>
          </cell>
          <cell r="E13">
            <v>37727.425099269924</v>
          </cell>
          <cell r="F13">
            <v>36197.521895438731</v>
          </cell>
          <cell r="G13">
            <v>38633.667494286979</v>
          </cell>
          <cell r="H13">
            <v>37117.026386473175</v>
          </cell>
          <cell r="I13">
            <v>38478.827276411168</v>
          </cell>
          <cell r="J13">
            <v>38194.978945166622</v>
          </cell>
          <cell r="K13">
            <v>36439.145391963313</v>
          </cell>
          <cell r="L13">
            <v>38359.835693361521</v>
          </cell>
          <cell r="M13">
            <v>36945.083861280305</v>
          </cell>
          <cell r="N13">
            <v>27194.385111130228</v>
          </cell>
        </row>
        <row r="14">
          <cell r="C14">
            <v>80569.111015306626</v>
          </cell>
          <cell r="D14">
            <v>81066.953814009481</v>
          </cell>
          <cell r="E14">
            <v>92109.299116235561</v>
          </cell>
          <cell r="F14">
            <v>88374.13003300807</v>
          </cell>
          <cell r="G14">
            <v>94321.836855421367</v>
          </cell>
          <cell r="H14">
            <v>90619.046403011089</v>
          </cell>
          <cell r="I14">
            <v>93943.803530697522</v>
          </cell>
          <cell r="J14">
            <v>93250.804451713091</v>
          </cell>
          <cell r="K14">
            <v>88964.039650649152</v>
          </cell>
          <cell r="L14">
            <v>93653.292548657395</v>
          </cell>
          <cell r="M14">
            <v>90199.258796459122</v>
          </cell>
          <cell r="N14">
            <v>66393.498784831449</v>
          </cell>
        </row>
        <row r="15">
          <cell r="C15">
            <v>50244.20576231298</v>
          </cell>
          <cell r="D15">
            <v>50554.668614640592</v>
          </cell>
          <cell r="E15">
            <v>57440.85443041996</v>
          </cell>
          <cell r="F15">
            <v>55111.542345307607</v>
          </cell>
          <cell r="G15">
            <v>58820.628887698193</v>
          </cell>
          <cell r="H15">
            <v>56511.508642468165</v>
          </cell>
          <cell r="I15">
            <v>58584.881168589964</v>
          </cell>
          <cell r="J15">
            <v>58152.715691289712</v>
          </cell>
          <cell r="K15">
            <v>55479.419560736926</v>
          </cell>
          <cell r="L15">
            <v>58403.713803406266</v>
          </cell>
          <cell r="M15">
            <v>56249.72227528262</v>
          </cell>
          <cell r="N15">
            <v>41404.063817846916</v>
          </cell>
        </row>
        <row r="16">
          <cell r="C16">
            <v>37757.480069903839</v>
          </cell>
          <cell r="D16">
            <v>37990.786473723994</v>
          </cell>
          <cell r="E16">
            <v>43165.612500966483</v>
          </cell>
          <cell r="F16">
            <v>41415.182709195658</v>
          </cell>
          <cell r="G16">
            <v>44202.484430400422</v>
          </cell>
          <cell r="H16">
            <v>42467.228388126969</v>
          </cell>
          <cell r="I16">
            <v>44025.324901839798</v>
          </cell>
          <cell r="J16">
            <v>43700.561495821261</v>
          </cell>
          <cell r="K16">
            <v>41691.634817831895</v>
          </cell>
          <cell r="L16">
            <v>43889.181378891102</v>
          </cell>
          <cell r="M16">
            <v>42270.501354798187</v>
          </cell>
          <cell r="N16">
            <v>31114.296478500346</v>
          </cell>
        </row>
        <row r="17">
          <cell r="C17">
            <v>100785.71451730239</v>
          </cell>
          <cell r="D17">
            <v>101408.47728025539</v>
          </cell>
          <cell r="E17">
            <v>115221.59557344597</v>
          </cell>
          <cell r="F17">
            <v>110549.18849147504</v>
          </cell>
          <cell r="G17">
            <v>117989.30883390349</v>
          </cell>
          <cell r="H17">
            <v>113357.4049100397</v>
          </cell>
          <cell r="I17">
            <v>117516.41843876924</v>
          </cell>
          <cell r="J17">
            <v>116649.53029199534</v>
          </cell>
          <cell r="K17">
            <v>111287.11971059065</v>
          </cell>
          <cell r="L17">
            <v>117153.01171215814</v>
          </cell>
          <cell r="M17">
            <v>112832.28314391011</v>
          </cell>
          <cell r="N17">
            <v>83053.122096154475</v>
          </cell>
        </row>
        <row r="18">
          <cell r="C18">
            <v>65703.961381486224</v>
          </cell>
          <cell r="D18">
            <v>66109.951265299242</v>
          </cell>
          <cell r="E18">
            <v>75114.963485933811</v>
          </cell>
          <cell r="F18">
            <v>72068.93999001765</v>
          </cell>
          <cell r="G18">
            <v>76919.283930066871</v>
          </cell>
          <cell r="H18">
            <v>73899.665147842999</v>
          </cell>
          <cell r="I18">
            <v>76610.998451233041</v>
          </cell>
          <cell r="J18">
            <v>76045.858980917328</v>
          </cell>
          <cell r="K18">
            <v>72550.010194809831</v>
          </cell>
          <cell r="L18">
            <v>76374.087281377448</v>
          </cell>
          <cell r="M18">
            <v>73557.329129215752</v>
          </cell>
          <cell r="N18">
            <v>54143.775761799821</v>
          </cell>
        </row>
        <row r="19">
          <cell r="C19">
            <v>117434.68210718124</v>
          </cell>
          <cell r="D19">
            <v>118160.32013481087</v>
          </cell>
          <cell r="E19">
            <v>134255.25147938394</v>
          </cell>
          <cell r="F19">
            <v>128811.0013396243</v>
          </cell>
          <cell r="G19">
            <v>137480.16811030052</v>
          </cell>
          <cell r="H19">
            <v>132083.11191582796</v>
          </cell>
          <cell r="I19">
            <v>136929.16012776946</v>
          </cell>
          <cell r="J19">
            <v>135919.06921928661</v>
          </cell>
          <cell r="K19">
            <v>129670.8327011307</v>
          </cell>
          <cell r="L19">
            <v>136505.72161151172</v>
          </cell>
          <cell r="M19">
            <v>131471.24437122271</v>
          </cell>
          <cell r="N19">
            <v>96772.811881949907</v>
          </cell>
        </row>
        <row r="20">
          <cell r="C20">
            <v>22297.724450730617</v>
          </cell>
          <cell r="D20">
            <v>22435.503823065352</v>
          </cell>
          <cell r="E20">
            <v>25491.503445452647</v>
          </cell>
          <cell r="F20">
            <v>24457.785064485626</v>
          </cell>
          <cell r="G20">
            <v>26103.829388031743</v>
          </cell>
          <cell r="H20">
            <v>25079.071882752145</v>
          </cell>
          <cell r="I20">
            <v>25999.207619196732</v>
          </cell>
          <cell r="J20">
            <v>25807.418206193659</v>
          </cell>
          <cell r="K20">
            <v>24621.04418375899</v>
          </cell>
          <cell r="L20">
            <v>25918.807900919943</v>
          </cell>
          <cell r="M20">
            <v>24962.89450086507</v>
          </cell>
          <cell r="N20">
            <v>18374.584534547448</v>
          </cell>
        </row>
        <row r="21">
          <cell r="C21">
            <v>67785.082330221077</v>
          </cell>
          <cell r="D21">
            <v>68203.931622118675</v>
          </cell>
          <cell r="E21">
            <v>77494.170474176048</v>
          </cell>
          <cell r="F21">
            <v>74351.666596036303</v>
          </cell>
          <cell r="G21">
            <v>79355.641339616501</v>
          </cell>
          <cell r="H21">
            <v>76240.378523566527</v>
          </cell>
          <cell r="I21">
            <v>79037.591162358076</v>
          </cell>
          <cell r="J21">
            <v>78454.551346828724</v>
          </cell>
          <cell r="K21">
            <v>74847.974318627341</v>
          </cell>
          <cell r="L21">
            <v>78793.176018796628</v>
          </cell>
          <cell r="M21">
            <v>75887.199282629823</v>
          </cell>
          <cell r="N21">
            <v>55858.736985024247</v>
          </cell>
        </row>
        <row r="22">
          <cell r="C22">
            <v>264005.05749665049</v>
          </cell>
          <cell r="D22">
            <v>265636.3652650938</v>
          </cell>
          <cell r="E22">
            <v>301819.40079415939</v>
          </cell>
          <cell r="F22">
            <v>289580.17516350985</v>
          </cell>
          <cell r="G22">
            <v>309069.33995429584</v>
          </cell>
          <cell r="H22">
            <v>296936.2110917854</v>
          </cell>
          <cell r="I22">
            <v>307830.61821128934</v>
          </cell>
          <cell r="J22">
            <v>305559.83156133298</v>
          </cell>
          <cell r="K22">
            <v>291513.16313570651</v>
          </cell>
          <cell r="L22">
            <v>306878.68554689217</v>
          </cell>
          <cell r="M22">
            <v>295560.67089024244</v>
          </cell>
          <cell r="N22">
            <v>217555.08088904183</v>
          </cell>
        </row>
        <row r="23">
          <cell r="C23">
            <v>116542.77312915202</v>
          </cell>
          <cell r="D23">
            <v>117262.89998188824</v>
          </cell>
          <cell r="E23">
            <v>133235.59134156583</v>
          </cell>
          <cell r="F23">
            <v>127832.68993704488</v>
          </cell>
          <cell r="G23">
            <v>136436.01493477923</v>
          </cell>
          <cell r="H23">
            <v>131079.94904051788</v>
          </cell>
          <cell r="I23">
            <v>135889.19182300157</v>
          </cell>
          <cell r="J23">
            <v>134886.77249103886</v>
          </cell>
          <cell r="K23">
            <v>128685.99093378033</v>
          </cell>
          <cell r="L23">
            <v>135468.9692954749</v>
          </cell>
          <cell r="M23">
            <v>130472.72859118809</v>
          </cell>
          <cell r="N23">
            <v>96037.828500568008</v>
          </cell>
        </row>
        <row r="24">
          <cell r="C24">
            <v>1053047.2000598379</v>
          </cell>
          <cell r="D24">
            <v>1059554.0605506331</v>
          </cell>
          <cell r="E24">
            <v>1203878.7360505771</v>
          </cell>
          <cell r="F24">
            <v>1155059.6626454412</v>
          </cell>
          <cell r="G24">
            <v>1232796.8492321125</v>
          </cell>
          <cell r="H24">
            <v>1184400.9681161081</v>
          </cell>
          <cell r="I24">
            <v>1227855.9118292644</v>
          </cell>
          <cell r="J24">
            <v>1218798.3371511726</v>
          </cell>
          <cell r="K24">
            <v>1162769.846651658</v>
          </cell>
          <cell r="L24">
            <v>1224058.9011341126</v>
          </cell>
          <cell r="M24">
            <v>1178914.297627521</v>
          </cell>
          <cell r="N24">
            <v>867770.37895156094</v>
          </cell>
        </row>
        <row r="25">
          <cell r="C25">
            <v>89190.897802922467</v>
          </cell>
          <cell r="D25">
            <v>89742.015292261407</v>
          </cell>
          <cell r="E25">
            <v>101966.01378181059</v>
          </cell>
          <cell r="F25">
            <v>97831.140257942505</v>
          </cell>
          <cell r="G25">
            <v>104415.31755212697</v>
          </cell>
          <cell r="H25">
            <v>100316.28753100858</v>
          </cell>
          <cell r="I25">
            <v>103996.83047678693</v>
          </cell>
          <cell r="J25">
            <v>103229.67282477464</v>
          </cell>
          <cell r="K25">
            <v>98484.176735035959</v>
          </cell>
          <cell r="L25">
            <v>103675.23160367977</v>
          </cell>
          <cell r="M25">
            <v>99851.578003460279</v>
          </cell>
          <cell r="N25">
            <v>73498.338138189793</v>
          </cell>
        </row>
        <row r="26">
          <cell r="C26">
            <v>134380.9526897365</v>
          </cell>
          <cell r="D26">
            <v>135211.30304034051</v>
          </cell>
          <cell r="E26">
            <v>153628.79409792795</v>
          </cell>
          <cell r="F26">
            <v>147398.91798863336</v>
          </cell>
          <cell r="G26">
            <v>157319.07844520462</v>
          </cell>
          <cell r="H26">
            <v>151143.20654671959</v>
          </cell>
          <cell r="I26">
            <v>156688.55791835897</v>
          </cell>
          <cell r="J26">
            <v>155532.70705599379</v>
          </cell>
          <cell r="K26">
            <v>148382.82628078753</v>
          </cell>
          <cell r="L26">
            <v>156204.01561621085</v>
          </cell>
          <cell r="M26">
            <v>150443.04419188015</v>
          </cell>
          <cell r="N26">
            <v>110737.49612820595</v>
          </cell>
        </row>
      </sheetData>
      <sheetData sheetId="27">
        <row r="7">
          <cell r="C7">
            <v>59001.003114284846</v>
          </cell>
        </row>
      </sheetData>
      <sheetData sheetId="28">
        <row r="7">
          <cell r="C7">
            <v>56963.546951054755</v>
          </cell>
        </row>
      </sheetData>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22.55 POE"/>
      <sheetName val="CONCENTRADO A AYUNT"/>
      <sheetName val="CONCENTRADO A EDO"/>
      <sheetName val="partrecib"/>
      <sheetName val="TRANSMUNI"/>
      <sheetName val="Hoja1"/>
      <sheetName val="X22.55 DOF"/>
      <sheetName val="CONCENTRADO"/>
      <sheetName val="FGP"/>
      <sheetName val="FFM"/>
      <sheetName val="FOFIR"/>
      <sheetName val="FOCO"/>
      <sheetName val="IEPS"/>
      <sheetName val="GAS Y DIESEL"/>
      <sheetName val="ISR"/>
      <sheetName val="Foco ISAN"/>
      <sheetName val="ISAN"/>
      <sheetName val="REPECOS E INT"/>
      <sheetName val="OTROS I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45"/>
  <sheetViews>
    <sheetView tabSelected="1" workbookViewId="0">
      <selection sqref="A1:G1"/>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937" t="s">
        <v>295</v>
      </c>
      <c r="B1" s="937"/>
      <c r="C1" s="937"/>
      <c r="D1" s="937"/>
      <c r="E1" s="937"/>
      <c r="F1" s="937"/>
      <c r="G1" s="937"/>
    </row>
    <row r="2" spans="1:18" ht="30" customHeight="1" x14ac:dyDescent="0.25">
      <c r="A2" s="938" t="s">
        <v>443</v>
      </c>
      <c r="B2" s="938"/>
      <c r="C2" s="938"/>
      <c r="D2" s="938"/>
      <c r="E2" s="938"/>
      <c r="F2" s="938"/>
      <c r="G2" s="938"/>
    </row>
    <row r="3" spans="1:18" ht="15.75" x14ac:dyDescent="0.25">
      <c r="A3" s="1"/>
      <c r="B3" s="1"/>
      <c r="C3" s="1"/>
      <c r="D3" s="1"/>
      <c r="E3" s="1"/>
    </row>
    <row r="4" spans="1:18" ht="30" customHeight="1" x14ac:dyDescent="0.25">
      <c r="A4" s="852" t="s">
        <v>296</v>
      </c>
      <c r="B4" s="930" t="s">
        <v>0</v>
      </c>
      <c r="C4" s="931"/>
      <c r="D4" s="930" t="s">
        <v>297</v>
      </c>
      <c r="E4" s="931"/>
      <c r="F4" s="932" t="s">
        <v>331</v>
      </c>
      <c r="G4" s="932"/>
      <c r="N4" s="2"/>
      <c r="O4" s="3"/>
      <c r="P4" s="3"/>
      <c r="Q4" s="3"/>
      <c r="R4" s="3"/>
    </row>
    <row r="5" spans="1:18" ht="15.75" customHeight="1" x14ac:dyDescent="0.25">
      <c r="A5" s="853"/>
      <c r="B5" s="930" t="s">
        <v>298</v>
      </c>
      <c r="C5" s="931"/>
      <c r="D5" s="930" t="s">
        <v>298</v>
      </c>
      <c r="E5" s="931"/>
      <c r="F5" s="933" t="s">
        <v>298</v>
      </c>
      <c r="G5" s="933"/>
      <c r="N5" s="2"/>
      <c r="O5" s="3"/>
      <c r="P5" s="3"/>
      <c r="Q5" s="3"/>
      <c r="R5" s="3"/>
    </row>
    <row r="6" spans="1:18" ht="15.75" x14ac:dyDescent="0.25">
      <c r="A6" s="828" t="s">
        <v>1</v>
      </c>
      <c r="B6" s="828" t="s">
        <v>1</v>
      </c>
      <c r="C6" s="829" t="s">
        <v>201</v>
      </c>
      <c r="D6" s="828" t="s">
        <v>2</v>
      </c>
      <c r="E6" s="830" t="s">
        <v>448</v>
      </c>
      <c r="F6" s="828" t="s">
        <v>1</v>
      </c>
      <c r="G6" s="829" t="s">
        <v>201</v>
      </c>
      <c r="N6" s="4"/>
      <c r="O6" s="4"/>
      <c r="P6" s="6"/>
      <c r="Q6" s="4"/>
      <c r="R6" s="6"/>
    </row>
    <row r="7" spans="1:18" ht="15.75" x14ac:dyDescent="0.25">
      <c r="A7" s="831" t="s">
        <v>2</v>
      </c>
      <c r="B7" s="831" t="s">
        <v>3</v>
      </c>
      <c r="C7" s="832" t="s">
        <v>449</v>
      </c>
      <c r="D7" s="831" t="s">
        <v>3</v>
      </c>
      <c r="E7" s="833" t="s">
        <v>450</v>
      </c>
      <c r="F7" s="831" t="s">
        <v>3</v>
      </c>
      <c r="G7" s="832" t="s">
        <v>449</v>
      </c>
      <c r="N7" s="4"/>
      <c r="O7" s="4"/>
      <c r="P7" s="6"/>
      <c r="Q7" s="4"/>
      <c r="R7" s="6"/>
    </row>
    <row r="8" spans="1:18" ht="15.75" x14ac:dyDescent="0.25">
      <c r="A8" s="831" t="s">
        <v>3</v>
      </c>
      <c r="B8" s="831" t="s">
        <v>4</v>
      </c>
      <c r="C8" s="832" t="s">
        <v>451</v>
      </c>
      <c r="D8" s="831" t="s">
        <v>4</v>
      </c>
      <c r="E8" s="833" t="s">
        <v>452</v>
      </c>
      <c r="F8" s="831" t="s">
        <v>4</v>
      </c>
      <c r="G8" s="832" t="s">
        <v>451</v>
      </c>
      <c r="N8" s="4"/>
      <c r="O8" s="4"/>
      <c r="P8" s="6"/>
      <c r="Q8" s="4"/>
      <c r="R8" s="6"/>
    </row>
    <row r="9" spans="1:18" ht="15.75" x14ac:dyDescent="0.25">
      <c r="A9" s="831" t="s">
        <v>4</v>
      </c>
      <c r="B9" s="831" t="s">
        <v>5</v>
      </c>
      <c r="C9" s="832" t="s">
        <v>451</v>
      </c>
      <c r="D9" s="831" t="s">
        <v>5</v>
      </c>
      <c r="E9" s="833" t="s">
        <v>448</v>
      </c>
      <c r="F9" s="831" t="s">
        <v>5</v>
      </c>
      <c r="G9" s="832" t="s">
        <v>451</v>
      </c>
      <c r="N9" s="4"/>
      <c r="O9" s="4"/>
      <c r="P9" s="6"/>
      <c r="Q9" s="4"/>
      <c r="R9" s="6"/>
    </row>
    <row r="10" spans="1:18" ht="15.75" x14ac:dyDescent="0.25">
      <c r="A10" s="831" t="s">
        <v>5</v>
      </c>
      <c r="B10" s="831" t="s">
        <v>5</v>
      </c>
      <c r="C10" s="832" t="s">
        <v>201</v>
      </c>
      <c r="D10" s="831" t="s">
        <v>6</v>
      </c>
      <c r="E10" s="833" t="s">
        <v>450</v>
      </c>
      <c r="F10" s="831" t="s">
        <v>5</v>
      </c>
      <c r="G10" s="832" t="s">
        <v>201</v>
      </c>
      <c r="N10" s="4"/>
      <c r="O10" s="4"/>
      <c r="P10" s="6"/>
      <c r="Q10" s="4"/>
      <c r="R10" s="6"/>
    </row>
    <row r="11" spans="1:18" ht="15.75" x14ac:dyDescent="0.25">
      <c r="A11" s="831" t="s">
        <v>6</v>
      </c>
      <c r="B11" s="831" t="s">
        <v>7</v>
      </c>
      <c r="C11" s="832" t="s">
        <v>449</v>
      </c>
      <c r="D11" s="831" t="s">
        <v>7</v>
      </c>
      <c r="E11" s="833" t="s">
        <v>452</v>
      </c>
      <c r="F11" s="831" t="s">
        <v>7</v>
      </c>
      <c r="G11" s="832" t="s">
        <v>449</v>
      </c>
      <c r="N11" s="4"/>
      <c r="O11" s="4"/>
      <c r="P11" s="6"/>
      <c r="Q11" s="4"/>
      <c r="R11" s="6"/>
    </row>
    <row r="12" spans="1:18" ht="15.75" x14ac:dyDescent="0.25">
      <c r="A12" s="831" t="s">
        <v>7</v>
      </c>
      <c r="B12" s="831" t="s">
        <v>7</v>
      </c>
      <c r="C12" s="832" t="s">
        <v>201</v>
      </c>
      <c r="D12" s="831" t="s">
        <v>8</v>
      </c>
      <c r="E12" s="833" t="s">
        <v>450</v>
      </c>
      <c r="F12" s="831" t="s">
        <v>7</v>
      </c>
      <c r="G12" s="832" t="s">
        <v>201</v>
      </c>
      <c r="N12" s="4"/>
      <c r="O12" s="4"/>
      <c r="P12" s="6"/>
      <c r="Q12" s="4"/>
      <c r="R12" s="6"/>
    </row>
    <row r="13" spans="1:18" ht="15.75" x14ac:dyDescent="0.25">
      <c r="A13" s="831" t="s">
        <v>8</v>
      </c>
      <c r="B13" s="831" t="s">
        <v>8</v>
      </c>
      <c r="C13" s="832" t="s">
        <v>300</v>
      </c>
      <c r="D13" s="831" t="s">
        <v>9</v>
      </c>
      <c r="E13" s="833" t="s">
        <v>453</v>
      </c>
      <c r="F13" s="831" t="s">
        <v>8</v>
      </c>
      <c r="G13" s="832" t="s">
        <v>300</v>
      </c>
      <c r="N13" s="4"/>
      <c r="O13" s="4"/>
      <c r="P13" s="6"/>
      <c r="Q13" s="4"/>
      <c r="R13" s="6"/>
    </row>
    <row r="14" spans="1:18" ht="15.75" x14ac:dyDescent="0.25">
      <c r="A14" s="831" t="s">
        <v>9</v>
      </c>
      <c r="B14" s="831" t="s">
        <v>10</v>
      </c>
      <c r="C14" s="832" t="s">
        <v>451</v>
      </c>
      <c r="D14" s="831" t="s">
        <v>10</v>
      </c>
      <c r="E14" s="833" t="s">
        <v>448</v>
      </c>
      <c r="F14" s="831" t="s">
        <v>10</v>
      </c>
      <c r="G14" s="832" t="s">
        <v>451</v>
      </c>
      <c r="N14" s="4"/>
      <c r="O14" s="4"/>
      <c r="P14" s="6"/>
      <c r="Q14" s="4"/>
      <c r="R14" s="6"/>
    </row>
    <row r="15" spans="1:18" ht="15.75" x14ac:dyDescent="0.25">
      <c r="A15" s="831" t="s">
        <v>10</v>
      </c>
      <c r="B15" s="831" t="s">
        <v>10</v>
      </c>
      <c r="C15" s="832" t="s">
        <v>201</v>
      </c>
      <c r="D15" s="831" t="s">
        <v>11</v>
      </c>
      <c r="E15" s="833" t="s">
        <v>450</v>
      </c>
      <c r="F15" s="831" t="s">
        <v>10</v>
      </c>
      <c r="G15" s="832" t="s">
        <v>201</v>
      </c>
      <c r="N15" s="4"/>
      <c r="O15" s="4"/>
      <c r="P15" s="6"/>
      <c r="Q15" s="4"/>
      <c r="R15" s="6"/>
    </row>
    <row r="16" spans="1:18" ht="15.75" x14ac:dyDescent="0.25">
      <c r="A16" s="831" t="s">
        <v>11</v>
      </c>
      <c r="B16" s="831" t="s">
        <v>11</v>
      </c>
      <c r="C16" s="832" t="s">
        <v>299</v>
      </c>
      <c r="D16" s="831" t="s">
        <v>12</v>
      </c>
      <c r="E16" s="833" t="s">
        <v>453</v>
      </c>
      <c r="F16" s="831" t="s">
        <v>11</v>
      </c>
      <c r="G16" s="832" t="s">
        <v>299</v>
      </c>
      <c r="N16" s="4"/>
      <c r="O16" s="4"/>
      <c r="P16" s="6"/>
      <c r="Q16" s="4"/>
      <c r="R16" s="6"/>
    </row>
    <row r="17" spans="1:18" ht="15.75" x14ac:dyDescent="0.25">
      <c r="A17" s="834" t="s">
        <v>12</v>
      </c>
      <c r="B17" s="837" t="s">
        <v>454</v>
      </c>
      <c r="C17" s="835" t="s">
        <v>451</v>
      </c>
      <c r="D17" s="837" t="s">
        <v>454</v>
      </c>
      <c r="E17" s="836" t="s">
        <v>448</v>
      </c>
      <c r="F17" s="837" t="s">
        <v>454</v>
      </c>
      <c r="G17" s="835" t="s">
        <v>451</v>
      </c>
      <c r="N17" s="4"/>
      <c r="O17" s="7"/>
      <c r="P17" s="6"/>
      <c r="Q17" s="7"/>
      <c r="R17" s="6"/>
    </row>
    <row r="18" spans="1:18" ht="49.5" customHeight="1" x14ac:dyDescent="0.25">
      <c r="A18" s="933" t="s">
        <v>296</v>
      </c>
      <c r="B18" s="940" t="s">
        <v>301</v>
      </c>
      <c r="C18" s="940"/>
      <c r="D18" s="941" t="s">
        <v>480</v>
      </c>
      <c r="E18" s="941"/>
      <c r="F18" s="936" t="s">
        <v>302</v>
      </c>
      <c r="G18" s="936"/>
    </row>
    <row r="19" spans="1:18" ht="15.75" customHeight="1" x14ac:dyDescent="0.25">
      <c r="A19" s="939"/>
      <c r="B19" s="933" t="s">
        <v>298</v>
      </c>
      <c r="C19" s="933"/>
      <c r="D19" s="932" t="s">
        <v>298</v>
      </c>
      <c r="E19" s="932"/>
      <c r="F19" s="933" t="s">
        <v>298</v>
      </c>
      <c r="G19" s="933"/>
    </row>
    <row r="20" spans="1:18" ht="15.75" x14ac:dyDescent="0.25">
      <c r="A20" s="828" t="s">
        <v>1</v>
      </c>
      <c r="B20" s="828" t="s">
        <v>2</v>
      </c>
      <c r="C20" s="830" t="s">
        <v>448</v>
      </c>
      <c r="D20" s="828" t="s">
        <v>1</v>
      </c>
      <c r="E20" s="830" t="s">
        <v>203</v>
      </c>
      <c r="F20" s="828" t="s">
        <v>1</v>
      </c>
      <c r="G20" s="829" t="s">
        <v>201</v>
      </c>
    </row>
    <row r="21" spans="1:18" ht="15.75" x14ac:dyDescent="0.25">
      <c r="A21" s="831" t="s">
        <v>2</v>
      </c>
      <c r="B21" s="831" t="s">
        <v>3</v>
      </c>
      <c r="C21" s="833" t="s">
        <v>450</v>
      </c>
      <c r="D21" s="831" t="s">
        <v>2</v>
      </c>
      <c r="E21" s="833" t="s">
        <v>203</v>
      </c>
      <c r="F21" s="831" t="s">
        <v>3</v>
      </c>
      <c r="G21" s="832" t="s">
        <v>449</v>
      </c>
    </row>
    <row r="22" spans="1:18" ht="15.75" x14ac:dyDescent="0.25">
      <c r="A22" s="831" t="s">
        <v>3</v>
      </c>
      <c r="B22" s="831" t="s">
        <v>4</v>
      </c>
      <c r="C22" s="833" t="s">
        <v>452</v>
      </c>
      <c r="D22" s="831" t="s">
        <v>3</v>
      </c>
      <c r="E22" s="833" t="s">
        <v>202</v>
      </c>
      <c r="F22" s="831" t="s">
        <v>4</v>
      </c>
      <c r="G22" s="832" t="s">
        <v>451</v>
      </c>
    </row>
    <row r="23" spans="1:18" ht="15.75" x14ac:dyDescent="0.25">
      <c r="A23" s="831" t="s">
        <v>4</v>
      </c>
      <c r="B23" s="831" t="s">
        <v>5</v>
      </c>
      <c r="C23" s="833" t="s">
        <v>448</v>
      </c>
      <c r="D23" s="831" t="s">
        <v>4</v>
      </c>
      <c r="E23" s="833" t="s">
        <v>203</v>
      </c>
      <c r="F23" s="831" t="s">
        <v>5</v>
      </c>
      <c r="G23" s="832" t="s">
        <v>451</v>
      </c>
    </row>
    <row r="24" spans="1:18" ht="15.75" x14ac:dyDescent="0.25">
      <c r="A24" s="831" t="s">
        <v>5</v>
      </c>
      <c r="B24" s="831" t="s">
        <v>6</v>
      </c>
      <c r="C24" s="833" t="s">
        <v>450</v>
      </c>
      <c r="D24" s="831" t="s">
        <v>5</v>
      </c>
      <c r="E24" s="833" t="s">
        <v>203</v>
      </c>
      <c r="F24" s="831" t="s">
        <v>5</v>
      </c>
      <c r="G24" s="832" t="s">
        <v>201</v>
      </c>
    </row>
    <row r="25" spans="1:18" ht="15.75" x14ac:dyDescent="0.25">
      <c r="A25" s="831" t="s">
        <v>6</v>
      </c>
      <c r="B25" s="831" t="s">
        <v>7</v>
      </c>
      <c r="C25" s="833" t="s">
        <v>452</v>
      </c>
      <c r="D25" s="831" t="s">
        <v>6</v>
      </c>
      <c r="E25" s="833" t="s">
        <v>204</v>
      </c>
      <c r="F25" s="831" t="s">
        <v>7</v>
      </c>
      <c r="G25" s="832" t="s">
        <v>449</v>
      </c>
    </row>
    <row r="26" spans="1:18" ht="15.75" x14ac:dyDescent="0.25">
      <c r="A26" s="831" t="s">
        <v>7</v>
      </c>
      <c r="B26" s="831" t="s">
        <v>8</v>
      </c>
      <c r="C26" s="833" t="s">
        <v>450</v>
      </c>
      <c r="D26" s="831" t="s">
        <v>7</v>
      </c>
      <c r="E26" s="833" t="s">
        <v>203</v>
      </c>
      <c r="F26" s="831" t="s">
        <v>7</v>
      </c>
      <c r="G26" s="832" t="s">
        <v>201</v>
      </c>
    </row>
    <row r="27" spans="1:18" ht="15.75" x14ac:dyDescent="0.25">
      <c r="A27" s="831" t="s">
        <v>8</v>
      </c>
      <c r="B27" s="831" t="s">
        <v>9</v>
      </c>
      <c r="C27" s="833" t="s">
        <v>453</v>
      </c>
      <c r="D27" s="831" t="s">
        <v>8</v>
      </c>
      <c r="E27" s="833" t="s">
        <v>203</v>
      </c>
      <c r="F27" s="831" t="s">
        <v>8</v>
      </c>
      <c r="G27" s="832" t="s">
        <v>300</v>
      </c>
    </row>
    <row r="28" spans="1:18" ht="15.75" x14ac:dyDescent="0.25">
      <c r="A28" s="831" t="s">
        <v>9</v>
      </c>
      <c r="B28" s="831" t="s">
        <v>10</v>
      </c>
      <c r="C28" s="833" t="s">
        <v>448</v>
      </c>
      <c r="D28" s="831" t="s">
        <v>9</v>
      </c>
      <c r="E28" s="833" t="s">
        <v>455</v>
      </c>
      <c r="F28" s="831" t="s">
        <v>10</v>
      </c>
      <c r="G28" s="832" t="s">
        <v>451</v>
      </c>
    </row>
    <row r="29" spans="1:18" ht="15.75" x14ac:dyDescent="0.25">
      <c r="A29" s="831" t="s">
        <v>10</v>
      </c>
      <c r="B29" s="831" t="s">
        <v>11</v>
      </c>
      <c r="C29" s="833" t="s">
        <v>450</v>
      </c>
      <c r="D29" s="831" t="s">
        <v>10</v>
      </c>
      <c r="E29" s="833" t="s">
        <v>203</v>
      </c>
      <c r="F29" s="831" t="s">
        <v>10</v>
      </c>
      <c r="G29" s="832" t="s">
        <v>201</v>
      </c>
    </row>
    <row r="30" spans="1:18" ht="15.75" x14ac:dyDescent="0.25">
      <c r="A30" s="831" t="s">
        <v>11</v>
      </c>
      <c r="B30" s="831" t="s">
        <v>12</v>
      </c>
      <c r="C30" s="833" t="s">
        <v>453</v>
      </c>
      <c r="D30" s="831" t="s">
        <v>11</v>
      </c>
      <c r="E30" s="833" t="s">
        <v>202</v>
      </c>
      <c r="F30" s="831" t="s">
        <v>11</v>
      </c>
      <c r="G30" s="832" t="s">
        <v>299</v>
      </c>
    </row>
    <row r="31" spans="1:18" ht="15.75" x14ac:dyDescent="0.25">
      <c r="A31" s="834" t="s">
        <v>12</v>
      </c>
      <c r="B31" s="837" t="s">
        <v>454</v>
      </c>
      <c r="C31" s="836" t="s">
        <v>448</v>
      </c>
      <c r="D31" s="834" t="s">
        <v>12</v>
      </c>
      <c r="E31" s="836" t="s">
        <v>203</v>
      </c>
      <c r="F31" s="837" t="s">
        <v>454</v>
      </c>
      <c r="G31" s="835" t="s">
        <v>451</v>
      </c>
    </row>
    <row r="32" spans="1:18" ht="49.5" customHeight="1" x14ac:dyDescent="0.25">
      <c r="A32" s="933" t="s">
        <v>296</v>
      </c>
      <c r="B32" s="934" t="s">
        <v>303</v>
      </c>
      <c r="C32" s="935"/>
      <c r="D32" s="936" t="s">
        <v>333</v>
      </c>
      <c r="E32" s="936"/>
      <c r="F32" s="932" t="s">
        <v>332</v>
      </c>
      <c r="G32" s="932"/>
      <c r="I32" s="927"/>
      <c r="J32" s="928"/>
    </row>
    <row r="33" spans="1:10" ht="15" customHeight="1" x14ac:dyDescent="0.25">
      <c r="A33" s="939"/>
      <c r="B33" s="930" t="s">
        <v>298</v>
      </c>
      <c r="C33" s="931"/>
      <c r="D33" s="933" t="s">
        <v>298</v>
      </c>
      <c r="E33" s="933"/>
      <c r="F33" s="933" t="s">
        <v>298</v>
      </c>
      <c r="G33" s="933"/>
      <c r="I33" s="929"/>
      <c r="J33" s="929"/>
    </row>
    <row r="34" spans="1:10" ht="15.75" x14ac:dyDescent="0.25">
      <c r="A34" s="828" t="s">
        <v>1</v>
      </c>
      <c r="B34" s="828" t="s">
        <v>1</v>
      </c>
      <c r="C34" s="829" t="s">
        <v>201</v>
      </c>
      <c r="D34" s="828" t="s">
        <v>1</v>
      </c>
      <c r="E34" s="830" t="s">
        <v>201</v>
      </c>
      <c r="F34" s="828" t="s">
        <v>2</v>
      </c>
      <c r="G34" s="830" t="s">
        <v>448</v>
      </c>
      <c r="I34" s="613"/>
      <c r="J34" s="614"/>
    </row>
    <row r="35" spans="1:10" ht="15.75" x14ac:dyDescent="0.25">
      <c r="A35" s="831" t="s">
        <v>2</v>
      </c>
      <c r="B35" s="831" t="s">
        <v>3</v>
      </c>
      <c r="C35" s="832" t="s">
        <v>449</v>
      </c>
      <c r="D35" s="831" t="s">
        <v>3</v>
      </c>
      <c r="E35" s="833" t="s">
        <v>449</v>
      </c>
      <c r="F35" s="831" t="s">
        <v>3</v>
      </c>
      <c r="G35" s="833" t="s">
        <v>450</v>
      </c>
      <c r="I35" s="613"/>
      <c r="J35" s="614"/>
    </row>
    <row r="36" spans="1:10" ht="15.75" x14ac:dyDescent="0.25">
      <c r="A36" s="831" t="s">
        <v>3</v>
      </c>
      <c r="B36" s="831" t="s">
        <v>4</v>
      </c>
      <c r="C36" s="832" t="s">
        <v>451</v>
      </c>
      <c r="D36" s="831" t="s">
        <v>4</v>
      </c>
      <c r="E36" s="833" t="s">
        <v>451</v>
      </c>
      <c r="F36" s="831" t="s">
        <v>4</v>
      </c>
      <c r="G36" s="833" t="s">
        <v>452</v>
      </c>
      <c r="I36" s="613"/>
      <c r="J36" s="614"/>
    </row>
    <row r="37" spans="1:10" ht="15.75" x14ac:dyDescent="0.25">
      <c r="A37" s="831" t="s">
        <v>4</v>
      </c>
      <c r="B37" s="831" t="s">
        <v>5</v>
      </c>
      <c r="C37" s="832" t="s">
        <v>451</v>
      </c>
      <c r="D37" s="831" t="s">
        <v>5</v>
      </c>
      <c r="E37" s="833" t="s">
        <v>451</v>
      </c>
      <c r="F37" s="831" t="s">
        <v>5</v>
      </c>
      <c r="G37" s="833" t="s">
        <v>448</v>
      </c>
      <c r="I37" s="613"/>
      <c r="J37" s="614"/>
    </row>
    <row r="38" spans="1:10" ht="15.75" x14ac:dyDescent="0.25">
      <c r="A38" s="831" t="s">
        <v>5</v>
      </c>
      <c r="B38" s="831" t="s">
        <v>5</v>
      </c>
      <c r="C38" s="832" t="s">
        <v>201</v>
      </c>
      <c r="D38" s="831" t="s">
        <v>5</v>
      </c>
      <c r="E38" s="833" t="s">
        <v>201</v>
      </c>
      <c r="F38" s="831" t="s">
        <v>6</v>
      </c>
      <c r="G38" s="833" t="s">
        <v>450</v>
      </c>
      <c r="I38" s="613"/>
      <c r="J38" s="614"/>
    </row>
    <row r="39" spans="1:10" ht="15.75" x14ac:dyDescent="0.25">
      <c r="A39" s="831" t="s">
        <v>6</v>
      </c>
      <c r="B39" s="831" t="s">
        <v>7</v>
      </c>
      <c r="C39" s="832" t="s">
        <v>449</v>
      </c>
      <c r="D39" s="831" t="s">
        <v>7</v>
      </c>
      <c r="E39" s="833" t="s">
        <v>449</v>
      </c>
      <c r="F39" s="831" t="s">
        <v>7</v>
      </c>
      <c r="G39" s="833" t="s">
        <v>452</v>
      </c>
      <c r="I39" s="613"/>
      <c r="J39" s="614"/>
    </row>
    <row r="40" spans="1:10" ht="15.75" x14ac:dyDescent="0.25">
      <c r="A40" s="831" t="s">
        <v>7</v>
      </c>
      <c r="B40" s="831" t="s">
        <v>7</v>
      </c>
      <c r="C40" s="832" t="s">
        <v>201</v>
      </c>
      <c r="D40" s="831" t="s">
        <v>7</v>
      </c>
      <c r="E40" s="833" t="s">
        <v>201</v>
      </c>
      <c r="F40" s="831" t="s">
        <v>8</v>
      </c>
      <c r="G40" s="833" t="s">
        <v>450</v>
      </c>
      <c r="I40" s="613"/>
      <c r="J40" s="614"/>
    </row>
    <row r="41" spans="1:10" ht="15.75" x14ac:dyDescent="0.25">
      <c r="A41" s="831" t="s">
        <v>8</v>
      </c>
      <c r="B41" s="831" t="s">
        <v>8</v>
      </c>
      <c r="C41" s="832" t="s">
        <v>300</v>
      </c>
      <c r="D41" s="831" t="s">
        <v>8</v>
      </c>
      <c r="E41" s="833" t="s">
        <v>300</v>
      </c>
      <c r="F41" s="831" t="s">
        <v>9</v>
      </c>
      <c r="G41" s="833" t="s">
        <v>453</v>
      </c>
      <c r="I41" s="613"/>
      <c r="J41" s="614"/>
    </row>
    <row r="42" spans="1:10" ht="15.75" x14ac:dyDescent="0.25">
      <c r="A42" s="831" t="s">
        <v>9</v>
      </c>
      <c r="B42" s="831" t="s">
        <v>10</v>
      </c>
      <c r="C42" s="832" t="s">
        <v>451</v>
      </c>
      <c r="D42" s="831" t="s">
        <v>10</v>
      </c>
      <c r="E42" s="833" t="s">
        <v>451</v>
      </c>
      <c r="F42" s="831" t="s">
        <v>10</v>
      </c>
      <c r="G42" s="833" t="s">
        <v>448</v>
      </c>
      <c r="I42" s="613"/>
      <c r="J42" s="615"/>
    </row>
    <row r="43" spans="1:10" ht="15.75" x14ac:dyDescent="0.25">
      <c r="A43" s="831" t="s">
        <v>10</v>
      </c>
      <c r="B43" s="831" t="s">
        <v>10</v>
      </c>
      <c r="C43" s="832" t="s">
        <v>201</v>
      </c>
      <c r="D43" s="831" t="s">
        <v>10</v>
      </c>
      <c r="E43" s="833" t="s">
        <v>201</v>
      </c>
      <c r="F43" s="831" t="s">
        <v>11</v>
      </c>
      <c r="G43" s="833" t="s">
        <v>450</v>
      </c>
      <c r="I43" s="613"/>
      <c r="J43" s="614"/>
    </row>
    <row r="44" spans="1:10" ht="15.75" x14ac:dyDescent="0.25">
      <c r="A44" s="831" t="s">
        <v>11</v>
      </c>
      <c r="B44" s="831" t="s">
        <v>11</v>
      </c>
      <c r="C44" s="832" t="s">
        <v>299</v>
      </c>
      <c r="D44" s="831" t="s">
        <v>11</v>
      </c>
      <c r="E44" s="833" t="s">
        <v>299</v>
      </c>
      <c r="F44" s="831" t="s">
        <v>12</v>
      </c>
      <c r="G44" s="833" t="s">
        <v>453</v>
      </c>
      <c r="I44" s="613"/>
      <c r="J44" s="614"/>
    </row>
    <row r="45" spans="1:10" ht="15.75" x14ac:dyDescent="0.25">
      <c r="A45" s="834" t="s">
        <v>12</v>
      </c>
      <c r="B45" s="837" t="s">
        <v>454</v>
      </c>
      <c r="C45" s="835" t="s">
        <v>451</v>
      </c>
      <c r="D45" s="834" t="s">
        <v>454</v>
      </c>
      <c r="E45" s="836" t="s">
        <v>451</v>
      </c>
      <c r="F45" s="837" t="s">
        <v>454</v>
      </c>
      <c r="G45" s="836" t="s">
        <v>448</v>
      </c>
      <c r="I45" s="616"/>
      <c r="J45" s="614"/>
    </row>
  </sheetData>
  <mergeCells count="24">
    <mergeCell ref="A1:G1"/>
    <mergeCell ref="A2:G2"/>
    <mergeCell ref="F33:G33"/>
    <mergeCell ref="A18:A19"/>
    <mergeCell ref="B18:C18"/>
    <mergeCell ref="D18:E18"/>
    <mergeCell ref="F18:G18"/>
    <mergeCell ref="B19:C19"/>
    <mergeCell ref="D19:E19"/>
    <mergeCell ref="F19:G19"/>
    <mergeCell ref="A32:A33"/>
    <mergeCell ref="I32:J32"/>
    <mergeCell ref="I33:J33"/>
    <mergeCell ref="B4:C4"/>
    <mergeCell ref="D4:E4"/>
    <mergeCell ref="F4:G4"/>
    <mergeCell ref="F5:G5"/>
    <mergeCell ref="B5:C5"/>
    <mergeCell ref="D5:E5"/>
    <mergeCell ref="B32:C32"/>
    <mergeCell ref="D32:E32"/>
    <mergeCell ref="F32:G32"/>
    <mergeCell ref="B33:C33"/>
    <mergeCell ref="D33:E33"/>
  </mergeCells>
  <printOptions horizontalCentered="1"/>
  <pageMargins left="0.51181102362204722" right="0.47244094488188981" top="0.59055118110236227" bottom="0.43307086614173229" header="0.15748031496062992" footer="0.31496062992125984"/>
  <pageSetup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pageSetUpPr fitToPage="1"/>
  </sheetPr>
  <dimension ref="B1:AB33"/>
  <sheetViews>
    <sheetView zoomScale="87" zoomScaleNormal="87" workbookViewId="0">
      <selection activeCell="D4" sqref="D4:D5"/>
    </sheetView>
  </sheetViews>
  <sheetFormatPr baseColWidth="10" defaultRowHeight="15" x14ac:dyDescent="0.25"/>
  <cols>
    <col min="1" max="1" width="3.5703125" customWidth="1"/>
    <col min="2" max="2" width="23.140625" customWidth="1"/>
    <col min="3" max="3" width="16.5703125" customWidth="1"/>
    <col min="4" max="4" width="16" customWidth="1"/>
    <col min="5" max="5" width="13.28515625" customWidth="1"/>
    <col min="6" max="6" width="19.5703125" style="9" customWidth="1"/>
    <col min="7" max="7" width="17.42578125" style="9" customWidth="1"/>
    <col min="8" max="8" width="16.85546875" style="9" customWidth="1"/>
    <col min="9" max="9" width="14.140625" customWidth="1"/>
    <col min="10" max="10" width="16.5703125" customWidth="1"/>
    <col min="11" max="11" width="15" customWidth="1"/>
    <col min="12" max="12" width="19.7109375" customWidth="1"/>
    <col min="13" max="13" width="14.5703125" customWidth="1"/>
    <col min="14" max="14" width="15.28515625" customWidth="1"/>
    <col min="15" max="15" width="13.28515625" customWidth="1"/>
    <col min="16" max="16" width="15.28515625" customWidth="1"/>
    <col min="17" max="17" width="13.5703125" customWidth="1"/>
    <col min="18" max="18" width="19.7109375" customWidth="1"/>
    <col min="19" max="19" width="16.7109375" customWidth="1"/>
    <col min="20" max="20" width="14.85546875" hidden="1" customWidth="1"/>
    <col min="21" max="23" width="11.42578125" hidden="1" customWidth="1"/>
    <col min="24" max="24" width="11.42578125" customWidth="1"/>
    <col min="25" max="25" width="15.5703125" bestFit="1" customWidth="1"/>
    <col min="26" max="26" width="17.85546875" bestFit="1" customWidth="1"/>
    <col min="27" max="27" width="12.140625" bestFit="1" customWidth="1"/>
  </cols>
  <sheetData>
    <row r="1" spans="2:28" ht="15.75" x14ac:dyDescent="0.25">
      <c r="B1" s="937" t="s">
        <v>446</v>
      </c>
      <c r="C1" s="937"/>
      <c r="D1" s="937"/>
      <c r="E1" s="937"/>
      <c r="F1" s="937"/>
      <c r="G1" s="937"/>
      <c r="H1" s="937"/>
      <c r="I1" s="937"/>
      <c r="J1" s="937"/>
      <c r="K1" s="937"/>
      <c r="L1" s="937"/>
      <c r="M1" s="937"/>
      <c r="N1" s="937"/>
      <c r="O1" s="937"/>
      <c r="P1" s="937"/>
      <c r="Q1" s="937"/>
      <c r="R1" s="937"/>
      <c r="S1" s="937"/>
    </row>
    <row r="2" spans="2:28" ht="15.75" thickBot="1" x14ac:dyDescent="0.3">
      <c r="B2" s="726"/>
      <c r="C2" s="726"/>
      <c r="D2" s="726"/>
      <c r="E2" s="726"/>
      <c r="F2" s="726"/>
      <c r="G2" s="726"/>
      <c r="H2" s="726"/>
      <c r="I2" s="9"/>
    </row>
    <row r="3" spans="2:28" ht="33.75" customHeight="1" thickBot="1" x14ac:dyDescent="0.3">
      <c r="B3" s="1077" t="s">
        <v>227</v>
      </c>
      <c r="C3" s="1084" t="s">
        <v>66</v>
      </c>
      <c r="D3" s="1085"/>
      <c r="E3" s="1085"/>
      <c r="F3" s="1086"/>
      <c r="G3" s="1084" t="s">
        <v>67</v>
      </c>
      <c r="H3" s="1085"/>
      <c r="I3" s="1085"/>
      <c r="J3" s="1085"/>
      <c r="K3" s="1085"/>
      <c r="L3" s="1086"/>
      <c r="M3" s="1087" t="s">
        <v>68</v>
      </c>
      <c r="N3" s="1088"/>
      <c r="O3" s="1088"/>
      <c r="P3" s="1088"/>
      <c r="Q3" s="1088"/>
      <c r="R3" s="1089"/>
      <c r="S3" s="727" t="s">
        <v>82</v>
      </c>
      <c r="T3" s="993" t="s">
        <v>385</v>
      </c>
    </row>
    <row r="4" spans="2:28" ht="15" customHeight="1" x14ac:dyDescent="0.25">
      <c r="B4" s="1078"/>
      <c r="C4" s="735" t="s">
        <v>69</v>
      </c>
      <c r="D4" s="991" t="s">
        <v>237</v>
      </c>
      <c r="E4" s="736" t="s">
        <v>135</v>
      </c>
      <c r="F4" s="991" t="s">
        <v>355</v>
      </c>
      <c r="G4" s="1097" t="s">
        <v>250</v>
      </c>
      <c r="H4" s="1098"/>
      <c r="I4" s="1090" t="s">
        <v>386</v>
      </c>
      <c r="J4" s="1102" t="s">
        <v>77</v>
      </c>
      <c r="K4" s="736" t="s">
        <v>22</v>
      </c>
      <c r="L4" s="991" t="s">
        <v>356</v>
      </c>
      <c r="M4" s="991" t="s">
        <v>17</v>
      </c>
      <c r="N4" s="1090" t="s">
        <v>357</v>
      </c>
      <c r="O4" s="1090" t="s">
        <v>245</v>
      </c>
      <c r="P4" s="1090" t="s">
        <v>358</v>
      </c>
      <c r="Q4" s="1093" t="s">
        <v>199</v>
      </c>
      <c r="R4" s="991" t="s">
        <v>359</v>
      </c>
      <c r="S4" s="976" t="s">
        <v>427</v>
      </c>
      <c r="T4" s="993"/>
    </row>
    <row r="5" spans="2:28" ht="20.100000000000001" customHeight="1" thickBot="1" x14ac:dyDescent="0.3">
      <c r="B5" s="1078"/>
      <c r="C5" s="737" t="s">
        <v>329</v>
      </c>
      <c r="D5" s="1091"/>
      <c r="E5" s="738" t="s">
        <v>139</v>
      </c>
      <c r="F5" s="992"/>
      <c r="G5" s="1099"/>
      <c r="H5" s="1100"/>
      <c r="I5" s="1101"/>
      <c r="J5" s="1103"/>
      <c r="K5" s="738" t="s">
        <v>198</v>
      </c>
      <c r="L5" s="992"/>
      <c r="M5" s="992"/>
      <c r="N5" s="1101"/>
      <c r="O5" s="1101"/>
      <c r="P5" s="1091"/>
      <c r="Q5" s="1094"/>
      <c r="R5" s="992"/>
      <c r="S5" s="976"/>
      <c r="T5" s="993"/>
    </row>
    <row r="6" spans="2:28" ht="20.100000000000001" customHeight="1" x14ac:dyDescent="0.25">
      <c r="B6" s="1078"/>
      <c r="C6" s="737" t="s">
        <v>38</v>
      </c>
      <c r="D6" s="738" t="s">
        <v>37</v>
      </c>
      <c r="E6" s="739">
        <v>0.6</v>
      </c>
      <c r="F6" s="992"/>
      <c r="G6" s="740">
        <v>2021</v>
      </c>
      <c r="H6" s="741">
        <v>2022</v>
      </c>
      <c r="I6" s="1101"/>
      <c r="J6" s="1103"/>
      <c r="K6" s="739">
        <v>0.3</v>
      </c>
      <c r="L6" s="992"/>
      <c r="M6" s="992"/>
      <c r="N6" s="1101"/>
      <c r="O6" s="1101"/>
      <c r="P6" s="1091"/>
      <c r="Q6" s="1094"/>
      <c r="R6" s="992"/>
      <c r="S6" s="976"/>
      <c r="T6" s="993"/>
    </row>
    <row r="7" spans="2:28" ht="20.100000000000001" customHeight="1" thickBot="1" x14ac:dyDescent="0.3">
      <c r="B7" s="1078"/>
      <c r="C7" s="742" t="s">
        <v>71</v>
      </c>
      <c r="D7" s="743" t="s">
        <v>72</v>
      </c>
      <c r="E7" s="743" t="s">
        <v>73</v>
      </c>
      <c r="F7" s="743" t="s">
        <v>97</v>
      </c>
      <c r="G7" s="743" t="s">
        <v>74</v>
      </c>
      <c r="H7" s="743" t="s">
        <v>75</v>
      </c>
      <c r="I7" s="743" t="s">
        <v>76</v>
      </c>
      <c r="J7" s="743" t="s">
        <v>99</v>
      </c>
      <c r="K7" s="743" t="s">
        <v>78</v>
      </c>
      <c r="L7" s="744" t="s">
        <v>239</v>
      </c>
      <c r="M7" s="744" t="s">
        <v>241</v>
      </c>
      <c r="N7" s="744" t="s">
        <v>242</v>
      </c>
      <c r="O7" s="744" t="s">
        <v>244</v>
      </c>
      <c r="P7" s="1092"/>
      <c r="Q7" s="745" t="s">
        <v>79</v>
      </c>
      <c r="R7" s="744" t="s">
        <v>248</v>
      </c>
      <c r="S7" s="746" t="s">
        <v>360</v>
      </c>
      <c r="T7" s="993"/>
      <c r="V7" s="59"/>
    </row>
    <row r="8" spans="2:28" s="5" customFormat="1" ht="16.5" customHeight="1" x14ac:dyDescent="0.25">
      <c r="B8" s="747" t="s">
        <v>45</v>
      </c>
      <c r="C8" s="748">
        <f>'CENSO 2020'!C10</f>
        <v>37232</v>
      </c>
      <c r="D8" s="749">
        <f>C8/$C$28*100</f>
        <v>3.0136241193535018</v>
      </c>
      <c r="E8" s="750">
        <f>D8*0.6</f>
        <v>1.8081744716121011</v>
      </c>
      <c r="F8" s="751">
        <f>Datos!$K$96*'ISR Enaje'!E8/100</f>
        <v>632861.06506423536</v>
      </c>
      <c r="G8" s="752">
        <f>'Predial y Agua'!D7</f>
        <v>12154053.73</v>
      </c>
      <c r="H8" s="753">
        <f>'Predial y Agua'!G7</f>
        <v>14028777</v>
      </c>
      <c r="I8" s="749">
        <f>H8/G8</f>
        <v>1.1542467485866543</v>
      </c>
      <c r="J8" s="749">
        <f>I8/$I$28*100</f>
        <v>5.1394067633930076</v>
      </c>
      <c r="K8" s="749">
        <f>J8*0.3</f>
        <v>1.5418220290179023</v>
      </c>
      <c r="L8" s="754">
        <f>Datos!$K$96*'ISR Enaje'!K8/100</f>
        <v>539637.71015626576</v>
      </c>
      <c r="M8" s="755">
        <f>F8+L8</f>
        <v>1172498.7752205012</v>
      </c>
      <c r="N8" s="749">
        <f>K8+E8</f>
        <v>3.3499965006300032</v>
      </c>
      <c r="O8" s="749">
        <f>MINVERSE(N8)</f>
        <v>0.29850777450422383</v>
      </c>
      <c r="P8" s="749">
        <f>O8/O$28*100</f>
        <v>4.5841074638537229</v>
      </c>
      <c r="Q8" s="749">
        <f>P8*0.1</f>
        <v>0.45841074638537233</v>
      </c>
      <c r="R8" s="756">
        <f>Datos!$K$96*'ISR Enaje'!Q8/100</f>
        <v>160443.76123488031</v>
      </c>
      <c r="S8" s="757">
        <f>F8+L8+R8</f>
        <v>1332942.5364553817</v>
      </c>
      <c r="T8" s="73">
        <f>E8+K8+Q8</f>
        <v>3.8084072470153756</v>
      </c>
      <c r="U8" s="74"/>
      <c r="V8" s="75">
        <v>0.97425313870244945</v>
      </c>
      <c r="W8" s="75">
        <f t="shared" ref="W8:W27" si="0">I8-V8</f>
        <v>0.17999360988420487</v>
      </c>
      <c r="Y8" s="74"/>
      <c r="Z8" s="76"/>
      <c r="AA8" s="74"/>
      <c r="AB8" s="74"/>
    </row>
    <row r="9" spans="2:28" s="5" customFormat="1" ht="16.5" customHeight="1" x14ac:dyDescent="0.25">
      <c r="B9" s="747" t="s">
        <v>46</v>
      </c>
      <c r="C9" s="748">
        <f>'CENSO 2020'!C11</f>
        <v>15393</v>
      </c>
      <c r="D9" s="749">
        <f t="shared" ref="D9:D27" si="1">C9/$C$28*100</f>
        <v>1.2459367229589724</v>
      </c>
      <c r="E9" s="750">
        <f t="shared" ref="E9:E27" si="2">D9*0.6</f>
        <v>0.74756203377538344</v>
      </c>
      <c r="F9" s="751">
        <f>Datos!$K$96*'ISR Enaje'!E9/100</f>
        <v>261646.7118213842</v>
      </c>
      <c r="G9" s="752">
        <f>'Predial y Agua'!D8</f>
        <v>6882965.5</v>
      </c>
      <c r="H9" s="753">
        <f>'Predial y Agua'!G8</f>
        <v>7263911</v>
      </c>
      <c r="I9" s="749">
        <f t="shared" ref="I9:I27" si="3">H9/G9</f>
        <v>1.0553461295135069</v>
      </c>
      <c r="J9" s="749">
        <f t="shared" ref="J9:J27" si="4">I9/$I$28*100</f>
        <v>4.6990412079425132</v>
      </c>
      <c r="K9" s="758">
        <f t="shared" ref="K9:K27" si="5">J9*0.3</f>
        <v>1.4097123623827539</v>
      </c>
      <c r="L9" s="754">
        <f>Datos!$K$96*'ISR Enaje'!K9/100</f>
        <v>493399.32683396386</v>
      </c>
      <c r="M9" s="759">
        <f t="shared" ref="M9:M28" si="6">F9+L9</f>
        <v>755046.03865534812</v>
      </c>
      <c r="N9" s="758">
        <f t="shared" ref="N9:N27" si="7">K9+E9</f>
        <v>2.1572743961581375</v>
      </c>
      <c r="O9" s="758">
        <f t="shared" ref="O9:O27" si="8">MINVERSE(N9)</f>
        <v>0.46354789255408918</v>
      </c>
      <c r="P9" s="758">
        <f t="shared" ref="P9:P27" si="9">O9/O$28*100</f>
        <v>7.1185863002733818</v>
      </c>
      <c r="Q9" s="758">
        <f t="shared" ref="Q9:Q27" si="10">P9*0.1</f>
        <v>0.71185863002733818</v>
      </c>
      <c r="R9" s="756">
        <f>Datos!$K$96*'ISR Enaje'!Q9/100</f>
        <v>249150.52050956839</v>
      </c>
      <c r="S9" s="757">
        <f t="shared" ref="S9:S27" si="11">F9+L9+R9</f>
        <v>1004196.5591649165</v>
      </c>
      <c r="T9" s="73">
        <f t="shared" ref="T9:T27" si="12">E9+K9+Q9</f>
        <v>2.8691330261854757</v>
      </c>
      <c r="U9" s="74"/>
      <c r="V9" s="75">
        <v>1.0958106186784708</v>
      </c>
      <c r="W9" s="75">
        <f t="shared" si="0"/>
        <v>-4.0464489164963924E-2</v>
      </c>
      <c r="Y9" s="74"/>
      <c r="Z9" s="76"/>
      <c r="AA9" s="74"/>
      <c r="AB9" s="74"/>
    </row>
    <row r="10" spans="2:28" s="5" customFormat="1" ht="16.5" customHeight="1" x14ac:dyDescent="0.25">
      <c r="B10" s="747" t="s">
        <v>47</v>
      </c>
      <c r="C10" s="748">
        <f>'CENSO 2020'!C12</f>
        <v>11536</v>
      </c>
      <c r="D10" s="749">
        <f t="shared" si="1"/>
        <v>0.93374430169912959</v>
      </c>
      <c r="E10" s="750">
        <f t="shared" si="2"/>
        <v>0.56024658101947777</v>
      </c>
      <c r="F10" s="751">
        <f>Datos!$K$96*'ISR Enaje'!E10/100</f>
        <v>196086.30335681722</v>
      </c>
      <c r="G10" s="752">
        <f>'Predial y Agua'!D9</f>
        <v>3352527.58</v>
      </c>
      <c r="H10" s="753">
        <f>'Predial y Agua'!G9</f>
        <v>4050881</v>
      </c>
      <c r="I10" s="749">
        <f t="shared" si="3"/>
        <v>1.2083065398674513</v>
      </c>
      <c r="J10" s="749">
        <f t="shared" si="4"/>
        <v>5.3801137502451208</v>
      </c>
      <c r="K10" s="758">
        <f t="shared" si="5"/>
        <v>1.6140341250735362</v>
      </c>
      <c r="L10" s="754">
        <f>Datos!$K$96*'ISR Enaje'!K10/100</f>
        <v>564911.94377573766</v>
      </c>
      <c r="M10" s="759">
        <f t="shared" si="6"/>
        <v>760998.24713255488</v>
      </c>
      <c r="N10" s="758">
        <f t="shared" si="7"/>
        <v>2.1742807060930138</v>
      </c>
      <c r="O10" s="758">
        <f t="shared" si="8"/>
        <v>0.45992221574596492</v>
      </c>
      <c r="P10" s="758">
        <f t="shared" si="9"/>
        <v>7.0629077098405268</v>
      </c>
      <c r="Q10" s="758">
        <f t="shared" si="10"/>
        <v>0.70629077098405268</v>
      </c>
      <c r="R10" s="756">
        <f>Datos!$K$96*'ISR Enaje'!Q10/100</f>
        <v>247201.76984441842</v>
      </c>
      <c r="S10" s="757">
        <f t="shared" si="11"/>
        <v>1008200.0169769733</v>
      </c>
      <c r="T10" s="73">
        <f t="shared" si="12"/>
        <v>2.8805714770770665</v>
      </c>
      <c r="U10" s="74"/>
      <c r="V10" s="75">
        <v>1.0258439054458339</v>
      </c>
      <c r="W10" s="75">
        <f t="shared" si="0"/>
        <v>0.18246263442161736</v>
      </c>
      <c r="Y10" s="74"/>
      <c r="Z10" s="76"/>
      <c r="AA10" s="74"/>
      <c r="AB10" s="74"/>
    </row>
    <row r="11" spans="2:28" s="5" customFormat="1" ht="16.5" customHeight="1" x14ac:dyDescent="0.25">
      <c r="B11" s="747" t="s">
        <v>48</v>
      </c>
      <c r="C11" s="748">
        <f>'CENSO 2020'!C13</f>
        <v>187632</v>
      </c>
      <c r="D11" s="749">
        <f t="shared" si="1"/>
        <v>15.187266887691669</v>
      </c>
      <c r="E11" s="750">
        <f t="shared" si="2"/>
        <v>9.1123601326150006</v>
      </c>
      <c r="F11" s="751">
        <f>Datos!$K$96*'ISR Enaje'!E11/100</f>
        <v>3189326.0464152503</v>
      </c>
      <c r="G11" s="752">
        <f>'Predial y Agua'!D10</f>
        <v>336468251.90999997</v>
      </c>
      <c r="H11" s="753">
        <f>'Predial y Agua'!G10</f>
        <v>347694330</v>
      </c>
      <c r="I11" s="749">
        <f t="shared" si="3"/>
        <v>1.0333644497698489</v>
      </c>
      <c r="J11" s="749">
        <f t="shared" si="4"/>
        <v>4.6011654342540638</v>
      </c>
      <c r="K11" s="758">
        <f t="shared" si="5"/>
        <v>1.380349630276219</v>
      </c>
      <c r="L11" s="754">
        <f>Datos!$K$96*'ISR Enaje'!K11/100</f>
        <v>483122.37059667672</v>
      </c>
      <c r="M11" s="759">
        <f t="shared" si="6"/>
        <v>3672448.4170119269</v>
      </c>
      <c r="N11" s="758">
        <f t="shared" si="7"/>
        <v>10.49270976289122</v>
      </c>
      <c r="O11" s="758">
        <f t="shared" si="8"/>
        <v>9.530426578047789E-2</v>
      </c>
      <c r="P11" s="758">
        <f t="shared" si="9"/>
        <v>1.463563208117401</v>
      </c>
      <c r="Q11" s="758">
        <f t="shared" si="10"/>
        <v>0.1463563208117401</v>
      </c>
      <c r="R11" s="756">
        <f>Datos!$K$96*'ISR Enaje'!Q11/100</f>
        <v>51224.712284109031</v>
      </c>
      <c r="S11" s="757">
        <f t="shared" si="11"/>
        <v>3723673.129296036</v>
      </c>
      <c r="T11" s="73">
        <f t="shared" si="12"/>
        <v>10.639066083702961</v>
      </c>
      <c r="U11" s="74"/>
      <c r="V11" s="75">
        <v>1.2368625473905901</v>
      </c>
      <c r="W11" s="75">
        <f t="shared" si="0"/>
        <v>-0.20349809762074123</v>
      </c>
      <c r="Y11" s="74"/>
      <c r="Z11" s="76"/>
      <c r="AA11" s="74"/>
      <c r="AB11" s="74"/>
    </row>
    <row r="12" spans="2:28" s="5" customFormat="1" ht="16.5" customHeight="1" x14ac:dyDescent="0.25">
      <c r="B12" s="747" t="s">
        <v>49</v>
      </c>
      <c r="C12" s="748">
        <f>'CENSO 2020'!C14</f>
        <v>77436</v>
      </c>
      <c r="D12" s="749">
        <f t="shared" si="1"/>
        <v>6.2678071902196431</v>
      </c>
      <c r="E12" s="750">
        <f t="shared" si="2"/>
        <v>3.7606843141317858</v>
      </c>
      <c r="F12" s="751">
        <f>Datos!$K$96*'ISR Enaje'!E12/100</f>
        <v>1316239.5099461251</v>
      </c>
      <c r="G12" s="752">
        <f>'Predial y Agua'!D11</f>
        <v>59487059.099999994</v>
      </c>
      <c r="H12" s="753">
        <f>'Predial y Agua'!G11</f>
        <v>69257630</v>
      </c>
      <c r="I12" s="749">
        <f t="shared" si="3"/>
        <v>1.1642469983862425</v>
      </c>
      <c r="J12" s="749">
        <f t="shared" si="4"/>
        <v>5.1839339422813646</v>
      </c>
      <c r="K12" s="758">
        <f t="shared" si="5"/>
        <v>1.5551801826844094</v>
      </c>
      <c r="L12" s="754">
        <f>Datos!$K$96*'ISR Enaje'!K12/100</f>
        <v>544313.06393954332</v>
      </c>
      <c r="M12" s="759">
        <f t="shared" si="6"/>
        <v>1860552.5738856685</v>
      </c>
      <c r="N12" s="758">
        <f t="shared" si="7"/>
        <v>5.3158644968161948</v>
      </c>
      <c r="O12" s="758">
        <f t="shared" si="8"/>
        <v>0.18811615694849354</v>
      </c>
      <c r="P12" s="758">
        <f t="shared" si="9"/>
        <v>2.8888516574527792</v>
      </c>
      <c r="Q12" s="758">
        <f t="shared" si="10"/>
        <v>0.28888516574527795</v>
      </c>
      <c r="R12" s="756">
        <f>Datos!$K$96*'ISR Enaje'!Q12/100</f>
        <v>101109.80801084729</v>
      </c>
      <c r="S12" s="757">
        <f t="shared" si="11"/>
        <v>1961662.3818965158</v>
      </c>
      <c r="T12" s="73">
        <f t="shared" si="12"/>
        <v>5.6047496625614723</v>
      </c>
      <c r="U12" s="74"/>
      <c r="V12" s="75">
        <v>0.59920521048482089</v>
      </c>
      <c r="W12" s="75">
        <f t="shared" si="0"/>
        <v>0.56504178790142157</v>
      </c>
      <c r="Y12" s="74"/>
      <c r="Z12" s="76"/>
      <c r="AA12" s="74"/>
      <c r="AB12" s="74"/>
    </row>
    <row r="13" spans="2:28" s="5" customFormat="1" ht="16.5" customHeight="1" x14ac:dyDescent="0.25">
      <c r="B13" s="747" t="s">
        <v>50</v>
      </c>
      <c r="C13" s="748">
        <f>'CENSO 2020'!C15</f>
        <v>47550</v>
      </c>
      <c r="D13" s="749">
        <f t="shared" si="1"/>
        <v>3.8487813406547868</v>
      </c>
      <c r="E13" s="750">
        <f t="shared" si="2"/>
        <v>2.3092688043928722</v>
      </c>
      <c r="F13" s="751">
        <f>Datos!$K$96*'ISR Enaje'!E13/100</f>
        <v>808244.08153750526</v>
      </c>
      <c r="G13" s="752">
        <f>'Predial y Agua'!D12</f>
        <v>171868.4</v>
      </c>
      <c r="H13" s="753">
        <f>'Predial y Agua'!G12</f>
        <v>111898</v>
      </c>
      <c r="I13" s="749">
        <f t="shared" si="3"/>
        <v>0.65106791009865694</v>
      </c>
      <c r="J13" s="749">
        <f t="shared" si="4"/>
        <v>2.8989493145087093</v>
      </c>
      <c r="K13" s="758">
        <f t="shared" si="5"/>
        <v>0.86968479435261281</v>
      </c>
      <c r="L13" s="754">
        <f>Datos!$K$96*'ISR Enaje'!K13/100</f>
        <v>304389.67802341451</v>
      </c>
      <c r="M13" s="759">
        <f t="shared" si="6"/>
        <v>1112633.7595609198</v>
      </c>
      <c r="N13" s="758">
        <f t="shared" si="7"/>
        <v>3.1789535987454851</v>
      </c>
      <c r="O13" s="758">
        <f t="shared" si="8"/>
        <v>0.31456891990956753</v>
      </c>
      <c r="P13" s="758">
        <f t="shared" si="9"/>
        <v>4.8307543615868136</v>
      </c>
      <c r="Q13" s="758">
        <f t="shared" si="10"/>
        <v>0.48307543615868137</v>
      </c>
      <c r="R13" s="756">
        <f>Datos!$K$96*'ISR Enaje'!Q13/100</f>
        <v>169076.40265553846</v>
      </c>
      <c r="S13" s="757">
        <f t="shared" si="11"/>
        <v>1281710.1622164582</v>
      </c>
      <c r="T13" s="73">
        <f t="shared" si="12"/>
        <v>3.6620290349041666</v>
      </c>
      <c r="U13" s="74"/>
      <c r="V13" s="75">
        <v>5.0856642738427809</v>
      </c>
      <c r="W13" s="75">
        <f t="shared" si="0"/>
        <v>-4.4345963637441237</v>
      </c>
      <c r="Y13" s="74"/>
      <c r="Z13" s="76"/>
      <c r="AA13" s="74"/>
      <c r="AB13" s="74"/>
    </row>
    <row r="14" spans="2:28" s="5" customFormat="1" ht="16.5" customHeight="1" x14ac:dyDescent="0.25">
      <c r="B14" s="747" t="s">
        <v>51</v>
      </c>
      <c r="C14" s="748">
        <f>'CENSO 2020'!C16</f>
        <v>12230</v>
      </c>
      <c r="D14" s="749">
        <f t="shared" si="1"/>
        <v>0.98991789266473262</v>
      </c>
      <c r="E14" s="750">
        <f t="shared" si="2"/>
        <v>0.5939507355988396</v>
      </c>
      <c r="F14" s="751">
        <f>Datos!$K$96*'ISR Enaje'!E14/100</f>
        <v>207882.75745959385</v>
      </c>
      <c r="G14" s="752">
        <f>'Predial y Agua'!D13</f>
        <v>148220.89000000001</v>
      </c>
      <c r="H14" s="753">
        <f>'Predial y Agua'!G13</f>
        <v>204897</v>
      </c>
      <c r="I14" s="749">
        <f t="shared" si="3"/>
        <v>1.3823759930196073</v>
      </c>
      <c r="J14" s="749">
        <f t="shared" si="4"/>
        <v>6.1551765571585859</v>
      </c>
      <c r="K14" s="758">
        <f t="shared" si="5"/>
        <v>1.8465529671475758</v>
      </c>
      <c r="L14" s="754">
        <f>Datos!$K$96*'ISR Enaje'!K14/100</f>
        <v>646293.53850165149</v>
      </c>
      <c r="M14" s="759">
        <f t="shared" si="6"/>
        <v>854176.29596124531</v>
      </c>
      <c r="N14" s="758">
        <f t="shared" si="7"/>
        <v>2.4405037027464154</v>
      </c>
      <c r="O14" s="758">
        <f t="shared" si="8"/>
        <v>0.40975147830124259</v>
      </c>
      <c r="P14" s="758">
        <f t="shared" si="9"/>
        <v>6.2924485404960349</v>
      </c>
      <c r="Q14" s="758">
        <f t="shared" si="10"/>
        <v>0.62924485404960351</v>
      </c>
      <c r="R14" s="756">
        <f>Datos!$K$96*'ISR Enaje'!Q14/100</f>
        <v>220235.69891736124</v>
      </c>
      <c r="S14" s="757">
        <f t="shared" si="11"/>
        <v>1074411.9948786066</v>
      </c>
      <c r="T14" s="73">
        <f t="shared" si="12"/>
        <v>3.0697485567960188</v>
      </c>
      <c r="U14" s="74"/>
      <c r="V14" s="75">
        <v>0.76323116375625843</v>
      </c>
      <c r="W14" s="75">
        <f t="shared" si="0"/>
        <v>0.61914482926334891</v>
      </c>
      <c r="Y14" s="74"/>
      <c r="Z14" s="76"/>
      <c r="AA14" s="74"/>
      <c r="AB14" s="74"/>
    </row>
    <row r="15" spans="2:28" s="5" customFormat="1" ht="16.5" customHeight="1" x14ac:dyDescent="0.25">
      <c r="B15" s="747" t="s">
        <v>52</v>
      </c>
      <c r="C15" s="748">
        <f>'CENSO 2020'!C17</f>
        <v>29299</v>
      </c>
      <c r="D15" s="749">
        <f t="shared" si="1"/>
        <v>2.3715130283878989</v>
      </c>
      <c r="E15" s="750">
        <f t="shared" si="2"/>
        <v>1.4229078170327394</v>
      </c>
      <c r="F15" s="751">
        <f>Datos!$K$96*'ISR Enaje'!E15/100</f>
        <v>498017.73596145876</v>
      </c>
      <c r="G15" s="752">
        <f>'Predial y Agua'!D14</f>
        <v>13225625.039999999</v>
      </c>
      <c r="H15" s="753">
        <f>'Predial y Agua'!G14</f>
        <v>14615438</v>
      </c>
      <c r="I15" s="749">
        <f t="shared" si="3"/>
        <v>1.1050848603220345</v>
      </c>
      <c r="J15" s="749">
        <f t="shared" si="4"/>
        <v>4.920508212144985</v>
      </c>
      <c r="K15" s="758">
        <f t="shared" si="5"/>
        <v>1.4761524636434955</v>
      </c>
      <c r="L15" s="754">
        <f>Datos!$K$96*'ISR Enaje'!K15/100</f>
        <v>516653.36227522342</v>
      </c>
      <c r="M15" s="759">
        <f t="shared" si="6"/>
        <v>1014671.0982366821</v>
      </c>
      <c r="N15" s="758">
        <f t="shared" si="7"/>
        <v>2.8990602806762347</v>
      </c>
      <c r="O15" s="758">
        <f t="shared" si="8"/>
        <v>0.34493936075269882</v>
      </c>
      <c r="P15" s="758">
        <f t="shared" si="9"/>
        <v>5.2971454456406599</v>
      </c>
      <c r="Q15" s="758">
        <f t="shared" si="10"/>
        <v>0.52971454456406597</v>
      </c>
      <c r="R15" s="756">
        <f>Datos!$K$96*'ISR Enaje'!Q15/100</f>
        <v>185400.09059742308</v>
      </c>
      <c r="S15" s="757">
        <f t="shared" si="11"/>
        <v>1200071.1888341052</v>
      </c>
      <c r="T15" s="73">
        <f t="shared" si="12"/>
        <v>3.4287748252403007</v>
      </c>
      <c r="U15" s="74"/>
      <c r="V15" s="75">
        <v>1.5455894402307131</v>
      </c>
      <c r="W15" s="75">
        <f t="shared" si="0"/>
        <v>-0.44050457990867864</v>
      </c>
      <c r="Y15" s="74"/>
      <c r="Z15" s="76"/>
      <c r="AA15" s="74"/>
      <c r="AB15" s="74"/>
    </row>
    <row r="16" spans="2:28" s="5" customFormat="1" ht="16.5" customHeight="1" x14ac:dyDescent="0.25">
      <c r="B16" s="747" t="s">
        <v>53</v>
      </c>
      <c r="C16" s="748">
        <f>'CENSO 2020'!C18</f>
        <v>19321</v>
      </c>
      <c r="D16" s="749">
        <f t="shared" si="1"/>
        <v>1.563876010153336</v>
      </c>
      <c r="E16" s="750">
        <f t="shared" si="2"/>
        <v>0.93832560609200155</v>
      </c>
      <c r="F16" s="751">
        <f>Datos!$K$96*'ISR Enaje'!E16/100</f>
        <v>328413.96213220054</v>
      </c>
      <c r="G16" s="752">
        <f>'Predial y Agua'!D15</f>
        <v>5088832.29</v>
      </c>
      <c r="H16" s="753">
        <f>'Predial y Agua'!G15</f>
        <v>4578677</v>
      </c>
      <c r="I16" s="749">
        <f t="shared" si="3"/>
        <v>0.89975002890103106</v>
      </c>
      <c r="J16" s="749">
        <f t="shared" si="4"/>
        <v>4.0062329736334146</v>
      </c>
      <c r="K16" s="758">
        <f t="shared" si="5"/>
        <v>1.2018698920900244</v>
      </c>
      <c r="L16" s="754">
        <f>Datos!$K$96*'ISR Enaje'!K16/100</f>
        <v>420654.46223150851</v>
      </c>
      <c r="M16" s="759">
        <f t="shared" si="6"/>
        <v>749068.42436370905</v>
      </c>
      <c r="N16" s="758">
        <f t="shared" si="7"/>
        <v>2.1401954981820257</v>
      </c>
      <c r="O16" s="758">
        <f t="shared" si="8"/>
        <v>0.46724703460475603</v>
      </c>
      <c r="P16" s="758">
        <f t="shared" si="9"/>
        <v>7.1753930776261008</v>
      </c>
      <c r="Q16" s="758">
        <f t="shared" si="10"/>
        <v>0.7175393077626101</v>
      </c>
      <c r="R16" s="756">
        <f>Datos!$K$96*'ISR Enaje'!Q16/100</f>
        <v>251138.75771691353</v>
      </c>
      <c r="S16" s="757">
        <f t="shared" si="11"/>
        <v>1000207.1820806225</v>
      </c>
      <c r="T16" s="73">
        <f t="shared" si="12"/>
        <v>2.8577348059446357</v>
      </c>
      <c r="U16" s="74"/>
      <c r="V16" s="75">
        <v>1.3217513416832607</v>
      </c>
      <c r="W16" s="75">
        <f t="shared" si="0"/>
        <v>-0.42200131278222963</v>
      </c>
      <c r="Y16" s="74"/>
      <c r="Z16" s="76"/>
      <c r="AA16" s="74"/>
      <c r="AB16" s="74"/>
    </row>
    <row r="17" spans="2:28" s="5" customFormat="1" ht="16.5" customHeight="1" x14ac:dyDescent="0.25">
      <c r="B17" s="747" t="s">
        <v>54</v>
      </c>
      <c r="C17" s="748">
        <f>'CENSO 2020'!C19</f>
        <v>13719</v>
      </c>
      <c r="D17" s="749">
        <f t="shared" si="1"/>
        <v>1.1104401937422297</v>
      </c>
      <c r="E17" s="750">
        <f t="shared" si="2"/>
        <v>0.66626411624533777</v>
      </c>
      <c r="F17" s="751">
        <f>Datos!$K$96*'ISR Enaje'!E17/100</f>
        <v>233192.44068586823</v>
      </c>
      <c r="G17" s="752">
        <f>'Predial y Agua'!D16</f>
        <v>838691.02</v>
      </c>
      <c r="H17" s="753">
        <f>'Predial y Agua'!G16</f>
        <v>1103886</v>
      </c>
      <c r="I17" s="749">
        <f t="shared" si="3"/>
        <v>1.3162010486293272</v>
      </c>
      <c r="J17" s="749">
        <f t="shared" si="4"/>
        <v>5.8605255588490772</v>
      </c>
      <c r="K17" s="758">
        <f t="shared" si="5"/>
        <v>1.758157667654723</v>
      </c>
      <c r="L17" s="754">
        <f>Datos!$K$96*'ISR Enaje'!K17/100</f>
        <v>615355.18367915298</v>
      </c>
      <c r="M17" s="759">
        <f t="shared" si="6"/>
        <v>848547.62436502124</v>
      </c>
      <c r="N17" s="758">
        <f t="shared" si="7"/>
        <v>2.424421783900061</v>
      </c>
      <c r="O17" s="758">
        <f t="shared" si="8"/>
        <v>0.41246948309107495</v>
      </c>
      <c r="P17" s="758">
        <f t="shared" si="9"/>
        <v>6.3341882441421262</v>
      </c>
      <c r="Q17" s="758">
        <f t="shared" si="10"/>
        <v>0.63341882441421271</v>
      </c>
      <c r="R17" s="756">
        <f>Datos!$K$96*'ISR Enaje'!Q17/100</f>
        <v>221696.58854497445</v>
      </c>
      <c r="S17" s="757">
        <f t="shared" si="11"/>
        <v>1070244.2129099956</v>
      </c>
      <c r="T17" s="73">
        <f t="shared" si="12"/>
        <v>3.0578406083142737</v>
      </c>
      <c r="U17" s="74"/>
      <c r="V17" s="75">
        <v>1.0641937928415424</v>
      </c>
      <c r="W17" s="75">
        <f t="shared" si="0"/>
        <v>0.25200725578778482</v>
      </c>
      <c r="Y17" s="74"/>
      <c r="Z17" s="76"/>
      <c r="AA17" s="74"/>
      <c r="AB17" s="74"/>
    </row>
    <row r="18" spans="2:28" s="5" customFormat="1" ht="16.5" customHeight="1" x14ac:dyDescent="0.25">
      <c r="B18" s="747" t="s">
        <v>55</v>
      </c>
      <c r="C18" s="748">
        <f>'CENSO 2020'!C20</f>
        <v>33567</v>
      </c>
      <c r="D18" s="749">
        <f t="shared" si="1"/>
        <v>2.7169725186489848</v>
      </c>
      <c r="E18" s="750">
        <f t="shared" si="2"/>
        <v>1.6301835111893908</v>
      </c>
      <c r="F18" s="751">
        <f>Datos!$K$96*'ISR Enaje'!E18/100</f>
        <v>570564.22891628672</v>
      </c>
      <c r="G18" s="752">
        <f>'Predial y Agua'!D17</f>
        <v>2832078.8</v>
      </c>
      <c r="H18" s="753">
        <f>'Predial y Agua'!G17</f>
        <v>2885897</v>
      </c>
      <c r="I18" s="749">
        <f t="shared" si="3"/>
        <v>1.0190030729370949</v>
      </c>
      <c r="J18" s="749">
        <f t="shared" si="4"/>
        <v>4.5372198720800592</v>
      </c>
      <c r="K18" s="758">
        <f t="shared" si="5"/>
        <v>1.3611659616240177</v>
      </c>
      <c r="L18" s="754">
        <f>Datos!$K$96*'ISR Enaje'!K18/100</f>
        <v>476408.0865684062</v>
      </c>
      <c r="M18" s="759">
        <f t="shared" si="6"/>
        <v>1046972.3154846929</v>
      </c>
      <c r="N18" s="758">
        <f t="shared" si="7"/>
        <v>2.9913494728134085</v>
      </c>
      <c r="O18" s="758">
        <f t="shared" si="8"/>
        <v>0.33429728257711233</v>
      </c>
      <c r="P18" s="758">
        <f t="shared" si="9"/>
        <v>5.1337177758701014</v>
      </c>
      <c r="Q18" s="758">
        <f t="shared" si="10"/>
        <v>0.51337177758701014</v>
      </c>
      <c r="R18" s="756">
        <f>Datos!$K$96*'ISR Enaje'!Q18/100</f>
        <v>179680.12215545357</v>
      </c>
      <c r="S18" s="757">
        <f t="shared" si="11"/>
        <v>1226652.4376401466</v>
      </c>
      <c r="T18" s="73">
        <f t="shared" si="12"/>
        <v>3.5047212504004186</v>
      </c>
      <c r="U18" s="74"/>
      <c r="V18" s="75">
        <v>0.85819469233584766</v>
      </c>
      <c r="W18" s="75">
        <f t="shared" si="0"/>
        <v>0.16080838060124725</v>
      </c>
      <c r="Y18" s="74"/>
      <c r="Z18" s="76"/>
      <c r="AA18" s="74"/>
      <c r="AB18" s="74"/>
    </row>
    <row r="19" spans="2:28" s="5" customFormat="1" ht="16.5" customHeight="1" x14ac:dyDescent="0.25">
      <c r="B19" s="747" t="s">
        <v>56</v>
      </c>
      <c r="C19" s="748">
        <f>'CENSO 2020'!C21</f>
        <v>24096</v>
      </c>
      <c r="D19" s="749">
        <f t="shared" si="1"/>
        <v>1.9503729796933278</v>
      </c>
      <c r="E19" s="750">
        <f t="shared" si="2"/>
        <v>1.1702237878159967</v>
      </c>
      <c r="F19" s="751">
        <f>Datos!$K$96*'ISR Enaje'!E19/100</f>
        <v>409578.3257355988</v>
      </c>
      <c r="G19" s="752">
        <f>'Predial y Agua'!D18</f>
        <v>3147655.25</v>
      </c>
      <c r="H19" s="753">
        <f>'Predial y Agua'!G18</f>
        <v>2627199</v>
      </c>
      <c r="I19" s="749">
        <f t="shared" si="3"/>
        <v>0.83465271490580173</v>
      </c>
      <c r="J19" s="749">
        <f t="shared" si="4"/>
        <v>3.7163802396010581</v>
      </c>
      <c r="K19" s="758">
        <f t="shared" si="5"/>
        <v>1.1149140718803174</v>
      </c>
      <c r="L19" s="754">
        <f>Datos!$K$96*'ISR Enaje'!K19/100</f>
        <v>390219.92515811109</v>
      </c>
      <c r="M19" s="759">
        <f t="shared" si="6"/>
        <v>799798.25089370995</v>
      </c>
      <c r="N19" s="758">
        <f t="shared" si="7"/>
        <v>2.2851378596963139</v>
      </c>
      <c r="O19" s="758">
        <f t="shared" si="8"/>
        <v>0.43761035937363368</v>
      </c>
      <c r="P19" s="758">
        <f t="shared" si="9"/>
        <v>6.7202702442043059</v>
      </c>
      <c r="Q19" s="758">
        <f t="shared" si="10"/>
        <v>0.67202702442043061</v>
      </c>
      <c r="R19" s="756">
        <f>Datos!$K$96*'ISR Enaje'!Q19/100</f>
        <v>235209.45854715072</v>
      </c>
      <c r="S19" s="757">
        <f t="shared" si="11"/>
        <v>1035007.7094408607</v>
      </c>
      <c r="T19" s="73">
        <f t="shared" si="12"/>
        <v>2.9571648841167444</v>
      </c>
      <c r="U19" s="74"/>
      <c r="V19" s="75">
        <v>0.30847701853884074</v>
      </c>
      <c r="W19" s="75">
        <f t="shared" si="0"/>
        <v>0.52617569636696104</v>
      </c>
      <c r="Y19" s="74"/>
      <c r="Z19" s="76"/>
      <c r="AA19" s="74"/>
      <c r="AB19" s="74"/>
    </row>
    <row r="20" spans="2:28" s="5" customFormat="1" ht="16.5" customHeight="1" x14ac:dyDescent="0.25">
      <c r="B20" s="747" t="s">
        <v>57</v>
      </c>
      <c r="C20" s="748">
        <f>'CENSO 2020'!C22</f>
        <v>41518</v>
      </c>
      <c r="D20" s="749">
        <f t="shared" si="1"/>
        <v>3.3605405615416495</v>
      </c>
      <c r="E20" s="750">
        <f t="shared" si="2"/>
        <v>2.0163243369249897</v>
      </c>
      <c r="F20" s="751">
        <f>Datos!$K$96*'ISR Enaje'!E20/100</f>
        <v>705713.51792374637</v>
      </c>
      <c r="G20" s="752">
        <f>'Predial y Agua'!D19</f>
        <v>6543396.6000000006</v>
      </c>
      <c r="H20" s="753">
        <f>'Predial y Agua'!G19</f>
        <v>8987543</v>
      </c>
      <c r="I20" s="749">
        <f t="shared" si="3"/>
        <v>1.3735286960903454</v>
      </c>
      <c r="J20" s="749">
        <f t="shared" si="4"/>
        <v>6.115783023902658</v>
      </c>
      <c r="K20" s="758">
        <f t="shared" si="5"/>
        <v>1.8347349071707972</v>
      </c>
      <c r="L20" s="754">
        <f>Datos!$K$96*'ISR Enaje'!K20/100</f>
        <v>642157.21750977903</v>
      </c>
      <c r="M20" s="759">
        <f t="shared" si="6"/>
        <v>1347870.7354335254</v>
      </c>
      <c r="N20" s="758">
        <f t="shared" si="7"/>
        <v>3.8510592440957869</v>
      </c>
      <c r="O20" s="758">
        <f t="shared" si="8"/>
        <v>0.25966881749044501</v>
      </c>
      <c r="P20" s="758">
        <f t="shared" si="9"/>
        <v>3.9876675452256127</v>
      </c>
      <c r="Q20" s="758">
        <f t="shared" si="10"/>
        <v>0.39876675452256127</v>
      </c>
      <c r="R20" s="756">
        <f>Datos!$K$96*'ISR Enaje'!Q20/100</f>
        <v>139568.36408289644</v>
      </c>
      <c r="S20" s="757">
        <f t="shared" si="11"/>
        <v>1487439.0995164218</v>
      </c>
      <c r="T20" s="73">
        <f t="shared" si="12"/>
        <v>4.2498259986183484</v>
      </c>
      <c r="U20" s="74"/>
      <c r="V20" s="75">
        <v>0.9189459125639704</v>
      </c>
      <c r="W20" s="75">
        <f t="shared" si="0"/>
        <v>0.45458278352637504</v>
      </c>
      <c r="Y20" s="74"/>
      <c r="Z20" s="76"/>
      <c r="AA20" s="74"/>
      <c r="AB20" s="74"/>
    </row>
    <row r="21" spans="2:28" s="5" customFormat="1" ht="16.5" customHeight="1" x14ac:dyDescent="0.25">
      <c r="B21" s="747" t="s">
        <v>58</v>
      </c>
      <c r="C21" s="748">
        <f>'CENSO 2020'!C23</f>
        <v>7683</v>
      </c>
      <c r="D21" s="749">
        <f t="shared" si="1"/>
        <v>0.62187564753418989</v>
      </c>
      <c r="E21" s="750">
        <f t="shared" si="2"/>
        <v>0.37312538852051391</v>
      </c>
      <c r="F21" s="751">
        <f>Datos!$K$96*'ISR Enaje'!E21/100</f>
        <v>130593.88598217987</v>
      </c>
      <c r="G21" s="752">
        <f>'Predial y Agua'!D20</f>
        <v>2330761.59</v>
      </c>
      <c r="H21" s="753">
        <f>'Predial y Agua'!G20</f>
        <v>2290506</v>
      </c>
      <c r="I21" s="749">
        <f t="shared" si="3"/>
        <v>0.9827285681329595</v>
      </c>
      <c r="J21" s="749">
        <f t="shared" si="4"/>
        <v>4.3757037702955976</v>
      </c>
      <c r="K21" s="758">
        <f t="shared" si="5"/>
        <v>1.3127111310886792</v>
      </c>
      <c r="L21" s="754">
        <f>Datos!$K$96*'ISR Enaje'!K21/100</f>
        <v>459448.89588103769</v>
      </c>
      <c r="M21" s="759">
        <f t="shared" si="6"/>
        <v>590042.78186321759</v>
      </c>
      <c r="N21" s="758">
        <f t="shared" si="7"/>
        <v>1.6858365196091931</v>
      </c>
      <c r="O21" s="758">
        <f t="shared" si="8"/>
        <v>0.59317732672668511</v>
      </c>
      <c r="P21" s="758">
        <f t="shared" si="9"/>
        <v>9.1092723308555534</v>
      </c>
      <c r="Q21" s="758">
        <f t="shared" si="10"/>
        <v>0.91092723308555534</v>
      </c>
      <c r="R21" s="756">
        <f>Datos!$K$96*'ISR Enaje'!Q21/100</f>
        <v>318824.53157994436</v>
      </c>
      <c r="S21" s="757">
        <f t="shared" si="11"/>
        <v>908867.31344316201</v>
      </c>
      <c r="T21" s="73">
        <f t="shared" si="12"/>
        <v>2.5967637526947485</v>
      </c>
      <c r="U21" s="74"/>
      <c r="V21" s="75">
        <v>0.95554775379956836</v>
      </c>
      <c r="W21" s="75">
        <f t="shared" si="0"/>
        <v>2.7180814333391146E-2</v>
      </c>
      <c r="Y21" s="74"/>
      <c r="Z21" s="76"/>
      <c r="AA21" s="74"/>
      <c r="AB21" s="74"/>
    </row>
    <row r="22" spans="2:28" s="5" customFormat="1" ht="16.5" customHeight="1" x14ac:dyDescent="0.25">
      <c r="B22" s="747" t="s">
        <v>59</v>
      </c>
      <c r="C22" s="748">
        <f>'CENSO 2020'!C24</f>
        <v>24911</v>
      </c>
      <c r="D22" s="749">
        <f t="shared" si="1"/>
        <v>2.0163405252797348</v>
      </c>
      <c r="E22" s="750">
        <f t="shared" si="2"/>
        <v>1.2098043151678408</v>
      </c>
      <c r="F22" s="751">
        <f>Datos!$K$96*'ISR Enaje'!E22/100</f>
        <v>423431.51030874433</v>
      </c>
      <c r="G22" s="752">
        <f>'Predial y Agua'!D21</f>
        <v>4292702.12</v>
      </c>
      <c r="H22" s="753">
        <f>'Predial y Agua'!G21</f>
        <v>4665876</v>
      </c>
      <c r="I22" s="749">
        <f t="shared" si="3"/>
        <v>1.0869321629053543</v>
      </c>
      <c r="J22" s="749">
        <f t="shared" si="4"/>
        <v>4.8396813906777822</v>
      </c>
      <c r="K22" s="758">
        <f t="shared" si="5"/>
        <v>1.4519044172033346</v>
      </c>
      <c r="L22" s="754">
        <f>Datos!$K$96*'ISR Enaje'!K22/100</f>
        <v>508166.54602116713</v>
      </c>
      <c r="M22" s="759">
        <f t="shared" si="6"/>
        <v>931598.05632991146</v>
      </c>
      <c r="N22" s="758">
        <f t="shared" si="7"/>
        <v>2.6617087323711752</v>
      </c>
      <c r="O22" s="758">
        <f t="shared" si="8"/>
        <v>0.37569850819445333</v>
      </c>
      <c r="P22" s="758">
        <f t="shared" si="9"/>
        <v>5.7695057974060671</v>
      </c>
      <c r="Q22" s="758">
        <f t="shared" si="10"/>
        <v>0.57695057974060671</v>
      </c>
      <c r="R22" s="756">
        <f>Datos!$K$96*'ISR Enaje'!Q22/100</f>
        <v>201932.70290921233</v>
      </c>
      <c r="S22" s="757">
        <f t="shared" si="11"/>
        <v>1133530.7592391237</v>
      </c>
      <c r="T22" s="73">
        <f t="shared" si="12"/>
        <v>3.2386593121117819</v>
      </c>
      <c r="U22" s="74"/>
      <c r="V22" s="75">
        <v>1.699762368686244</v>
      </c>
      <c r="W22" s="75">
        <f t="shared" si="0"/>
        <v>-0.61283020578088965</v>
      </c>
      <c r="Y22" s="74"/>
      <c r="Z22" s="76"/>
      <c r="AA22" s="74"/>
      <c r="AB22" s="74"/>
    </row>
    <row r="23" spans="2:28" s="5" customFormat="1" ht="16.5" customHeight="1" x14ac:dyDescent="0.25">
      <c r="B23" s="747" t="s">
        <v>60</v>
      </c>
      <c r="C23" s="748">
        <f>'CENSO 2020'!C25</f>
        <v>93981</v>
      </c>
      <c r="D23" s="749">
        <f t="shared" si="1"/>
        <v>7.6069888365105687</v>
      </c>
      <c r="E23" s="750">
        <f t="shared" si="2"/>
        <v>4.5641933019063412</v>
      </c>
      <c r="F23" s="751">
        <f>Datos!$K$96*'ISR Enaje'!E23/100</f>
        <v>1597467.6556672195</v>
      </c>
      <c r="G23" s="752">
        <f>'Predial y Agua'!D22</f>
        <v>20249401.050000001</v>
      </c>
      <c r="H23" s="753">
        <f>'Predial y Agua'!G22</f>
        <v>26816798</v>
      </c>
      <c r="I23" s="749">
        <f t="shared" si="3"/>
        <v>1.32432549159275</v>
      </c>
      <c r="J23" s="749">
        <f t="shared" si="4"/>
        <v>5.8967005077204027</v>
      </c>
      <c r="K23" s="758">
        <f t="shared" si="5"/>
        <v>1.7690101523161208</v>
      </c>
      <c r="L23" s="754">
        <f>Datos!$K$96*'ISR Enaje'!K23/100</f>
        <v>619153.55331064225</v>
      </c>
      <c r="M23" s="759">
        <f t="shared" si="6"/>
        <v>2216621.2089778618</v>
      </c>
      <c r="N23" s="758">
        <f t="shared" si="7"/>
        <v>6.3332034542224616</v>
      </c>
      <c r="O23" s="758">
        <f t="shared" si="8"/>
        <v>0.15789797489188223</v>
      </c>
      <c r="P23" s="758">
        <f t="shared" si="9"/>
        <v>2.4247987725995497</v>
      </c>
      <c r="Q23" s="758">
        <f t="shared" si="10"/>
        <v>0.24247987725995498</v>
      </c>
      <c r="R23" s="756">
        <f>Datos!$K$96*'ISR Enaje'!Q23/100</f>
        <v>84867.957040984242</v>
      </c>
      <c r="S23" s="757">
        <f t="shared" si="11"/>
        <v>2301489.166018846</v>
      </c>
      <c r="T23" s="73">
        <f t="shared" si="12"/>
        <v>6.5756833314824163</v>
      </c>
      <c r="U23" s="74"/>
      <c r="V23" s="75">
        <v>1.2135546261977699</v>
      </c>
      <c r="W23" s="75">
        <f t="shared" si="0"/>
        <v>0.11077086539498016</v>
      </c>
      <c r="Y23" s="74"/>
      <c r="Z23" s="76"/>
      <c r="AA23" s="74"/>
      <c r="AB23" s="74"/>
    </row>
    <row r="24" spans="2:28" s="5" customFormat="1" ht="16.5" customHeight="1" x14ac:dyDescent="0.25">
      <c r="B24" s="747" t="s">
        <v>61</v>
      </c>
      <c r="C24" s="748">
        <f>'CENSO 2020'!C26</f>
        <v>37135</v>
      </c>
      <c r="D24" s="749">
        <f t="shared" si="1"/>
        <v>3.0057727673021133</v>
      </c>
      <c r="E24" s="750">
        <f t="shared" si="2"/>
        <v>1.8034636603812679</v>
      </c>
      <c r="F24" s="751">
        <f>Datos!$K$96*'ISR Enaje'!E24/100</f>
        <v>631212.28113344382</v>
      </c>
      <c r="G24" s="752">
        <f>'Predial y Agua'!D23</f>
        <v>6350766.8900000006</v>
      </c>
      <c r="H24" s="753">
        <f>'Predial y Agua'!G23</f>
        <v>10903968</v>
      </c>
      <c r="I24" s="749">
        <f t="shared" si="3"/>
        <v>1.7169529584166487</v>
      </c>
      <c r="J24" s="749">
        <f t="shared" si="4"/>
        <v>7.644916182539883</v>
      </c>
      <c r="K24" s="758">
        <f t="shared" si="5"/>
        <v>2.293474854761965</v>
      </c>
      <c r="L24" s="754">
        <f>Datos!$K$96*'ISR Enaje'!K24/100</f>
        <v>802716.19916668767</v>
      </c>
      <c r="M24" s="759">
        <f t="shared" si="6"/>
        <v>1433928.4803001315</v>
      </c>
      <c r="N24" s="758">
        <f t="shared" si="7"/>
        <v>4.0969385151432327</v>
      </c>
      <c r="O24" s="758">
        <f t="shared" si="8"/>
        <v>0.24408469795281737</v>
      </c>
      <c r="P24" s="758">
        <f t="shared" si="9"/>
        <v>3.748346211606489</v>
      </c>
      <c r="Q24" s="758">
        <f t="shared" si="10"/>
        <v>0.37483462116064892</v>
      </c>
      <c r="R24" s="756">
        <f>Datos!$K$96*'ISR Enaje'!Q24/100</f>
        <v>131192.11740622713</v>
      </c>
      <c r="S24" s="757">
        <f t="shared" si="11"/>
        <v>1565120.5977063586</v>
      </c>
      <c r="T24" s="73">
        <f t="shared" si="12"/>
        <v>4.4717731363038817</v>
      </c>
      <c r="U24" s="74"/>
      <c r="V24" s="75">
        <v>0.93743913529070699</v>
      </c>
      <c r="W24" s="75">
        <f t="shared" si="0"/>
        <v>0.77951382312594175</v>
      </c>
      <c r="Y24" s="74"/>
      <c r="Z24" s="76"/>
      <c r="AA24" s="74"/>
      <c r="AB24" s="74"/>
    </row>
    <row r="25" spans="2:28" s="5" customFormat="1" ht="16.5" customHeight="1" x14ac:dyDescent="0.25">
      <c r="B25" s="747" t="s">
        <v>62</v>
      </c>
      <c r="C25" s="748">
        <f>'CENSO 2020'!C27</f>
        <v>425924</v>
      </c>
      <c r="D25" s="749">
        <f t="shared" si="1"/>
        <v>34.475044032324909</v>
      </c>
      <c r="E25" s="750">
        <f t="shared" si="2"/>
        <v>20.685026419394944</v>
      </c>
      <c r="F25" s="751">
        <f>Datos!$K$96*'ISR Enaje'!E25/100</f>
        <v>7239759.2467882298</v>
      </c>
      <c r="G25" s="752">
        <f>'Predial y Agua'!D24</f>
        <v>271389232.78000003</v>
      </c>
      <c r="H25" s="753">
        <f>'Predial y Agua'!G24</f>
        <v>359149165.05000001</v>
      </c>
      <c r="I25" s="749">
        <f t="shared" si="3"/>
        <v>1.3233729332996125</v>
      </c>
      <c r="J25" s="749">
        <f t="shared" si="4"/>
        <v>5.8924591403175732</v>
      </c>
      <c r="K25" s="758">
        <f t="shared" si="5"/>
        <v>1.767737742095272</v>
      </c>
      <c r="L25" s="754">
        <f>Datos!$K$96*'ISR Enaje'!K25/100</f>
        <v>618708.2097333452</v>
      </c>
      <c r="M25" s="759">
        <f t="shared" si="6"/>
        <v>7858467.4565215753</v>
      </c>
      <c r="N25" s="758">
        <f t="shared" si="7"/>
        <v>22.452764161490215</v>
      </c>
      <c r="O25" s="758">
        <f t="shared" si="8"/>
        <v>4.4537946099088621E-2</v>
      </c>
      <c r="P25" s="758">
        <f t="shared" si="9"/>
        <v>0.68395783485584905</v>
      </c>
      <c r="Q25" s="758">
        <f t="shared" si="10"/>
        <v>6.8395783485584907E-2</v>
      </c>
      <c r="R25" s="756">
        <f>Datos!$K$96*'ISR Enaje'!Q25/100</f>
        <v>23938.524219954717</v>
      </c>
      <c r="S25" s="757">
        <f t="shared" si="11"/>
        <v>7882405.9807415297</v>
      </c>
      <c r="T25" s="73">
        <f t="shared" si="12"/>
        <v>22.5211599449758</v>
      </c>
      <c r="U25" s="74"/>
      <c r="V25" s="75">
        <v>0.78971025252641724</v>
      </c>
      <c r="W25" s="75">
        <f t="shared" si="0"/>
        <v>0.53366268077319523</v>
      </c>
      <c r="Y25" s="74"/>
      <c r="Z25" s="76"/>
      <c r="AA25" s="74"/>
      <c r="AB25" s="74"/>
    </row>
    <row r="26" spans="2:28" s="5" customFormat="1" ht="16.5" customHeight="1" x14ac:dyDescent="0.25">
      <c r="B26" s="747" t="s">
        <v>63</v>
      </c>
      <c r="C26" s="748">
        <f>'CENSO 2020'!C28</f>
        <v>30064</v>
      </c>
      <c r="D26" s="749">
        <f t="shared" si="1"/>
        <v>2.4334334852880231</v>
      </c>
      <c r="E26" s="750">
        <f t="shared" si="2"/>
        <v>1.4600600911728139</v>
      </c>
      <c r="F26" s="751">
        <f>Datos!$K$96*'ISR Enaje'!E26/100</f>
        <v>511021.03191048489</v>
      </c>
      <c r="G26" s="752">
        <f>'Predial y Agua'!D25</f>
        <v>2577638.86</v>
      </c>
      <c r="H26" s="753">
        <f>'Predial y Agua'!G25</f>
        <v>2159731</v>
      </c>
      <c r="I26" s="749">
        <f t="shared" si="3"/>
        <v>0.83787183438101953</v>
      </c>
      <c r="J26" s="749">
        <f t="shared" si="4"/>
        <v>3.7307137124250995</v>
      </c>
      <c r="K26" s="758">
        <f t="shared" si="5"/>
        <v>1.1192141137275298</v>
      </c>
      <c r="L26" s="754">
        <f>Datos!$K$96*'ISR Enaje'!K26/100</f>
        <v>391724.93980463542</v>
      </c>
      <c r="M26" s="759">
        <f t="shared" si="6"/>
        <v>902745.97171512037</v>
      </c>
      <c r="N26" s="758">
        <f t="shared" si="7"/>
        <v>2.5792742049003436</v>
      </c>
      <c r="O26" s="758">
        <f t="shared" si="8"/>
        <v>0.38770596708954308</v>
      </c>
      <c r="P26" s="758">
        <f t="shared" si="9"/>
        <v>5.9539012692972655</v>
      </c>
      <c r="Q26" s="758">
        <f t="shared" si="10"/>
        <v>0.59539012692972659</v>
      </c>
      <c r="R26" s="756">
        <f>Datos!$K$96*'ISR Enaje'!Q26/100</f>
        <v>208386.54442540428</v>
      </c>
      <c r="S26" s="757">
        <f t="shared" si="11"/>
        <v>1111132.5161405248</v>
      </c>
      <c r="T26" s="73">
        <f t="shared" si="12"/>
        <v>3.17466433183007</v>
      </c>
      <c r="U26" s="74"/>
      <c r="V26" s="75">
        <v>1.0987404654646735</v>
      </c>
      <c r="W26" s="75">
        <f t="shared" si="0"/>
        <v>-0.26086863108365399</v>
      </c>
      <c r="Y26" s="74"/>
      <c r="Z26" s="76"/>
      <c r="AA26" s="74"/>
      <c r="AB26" s="74"/>
    </row>
    <row r="27" spans="2:28" s="5" customFormat="1" ht="16.5" customHeight="1" thickBot="1" x14ac:dyDescent="0.3">
      <c r="B27" s="760" t="s">
        <v>64</v>
      </c>
      <c r="C27" s="748">
        <f>'CENSO 2020'!C29</f>
        <v>65229</v>
      </c>
      <c r="D27" s="761">
        <f t="shared" si="1"/>
        <v>5.2797509583506006</v>
      </c>
      <c r="E27" s="762">
        <f t="shared" si="2"/>
        <v>3.1678505750103603</v>
      </c>
      <c r="F27" s="751">
        <f>Datos!$K$96*'ISR Enaje'!E27/100</f>
        <v>1108747.701253626</v>
      </c>
      <c r="G27" s="752">
        <f>'Predial y Agua'!D26</f>
        <v>43314555.549999997</v>
      </c>
      <c r="H27" s="753">
        <f>'Predial y Agua'!G26</f>
        <v>42855221</v>
      </c>
      <c r="I27" s="761">
        <f t="shared" si="3"/>
        <v>0.98939537658490417</v>
      </c>
      <c r="J27" s="761">
        <f t="shared" si="4"/>
        <v>4.4053884460290353</v>
      </c>
      <c r="K27" s="763">
        <f t="shared" si="5"/>
        <v>1.3216165338087105</v>
      </c>
      <c r="L27" s="754">
        <f>Datos!$K$96*'ISR Enaje'!K27/100</f>
        <v>462565.78683304868</v>
      </c>
      <c r="M27" s="764">
        <f t="shared" si="6"/>
        <v>1571313.4880866748</v>
      </c>
      <c r="N27" s="763">
        <f t="shared" si="7"/>
        <v>4.4894671088190705</v>
      </c>
      <c r="O27" s="763">
        <f t="shared" si="8"/>
        <v>0.22274358532120853</v>
      </c>
      <c r="P27" s="763">
        <f t="shared" si="9"/>
        <v>3.420616209049665</v>
      </c>
      <c r="Q27" s="763">
        <f t="shared" si="10"/>
        <v>0.3420616209049665</v>
      </c>
      <c r="R27" s="756">
        <f>Datos!$K$96*'ISR Enaje'!Q27/100</f>
        <v>119721.56731673828</v>
      </c>
      <c r="S27" s="757">
        <f t="shared" si="11"/>
        <v>1691035.055403413</v>
      </c>
      <c r="T27" s="73">
        <f t="shared" si="12"/>
        <v>4.8315287297240372</v>
      </c>
      <c r="U27" s="74"/>
      <c r="V27" s="75">
        <v>1.0459205946760619</v>
      </c>
      <c r="W27" s="75">
        <f t="shared" si="0"/>
        <v>-5.6525218091157736E-2</v>
      </c>
      <c r="Y27" s="74"/>
      <c r="Z27" s="76"/>
      <c r="AA27" s="74"/>
      <c r="AB27" s="74"/>
    </row>
    <row r="28" spans="2:28" s="5" customFormat="1" ht="16.5" customHeight="1" thickBot="1" x14ac:dyDescent="0.3">
      <c r="B28" s="81" t="s">
        <v>65</v>
      </c>
      <c r="C28" s="765">
        <f>SUM(C8:C27)</f>
        <v>1235456</v>
      </c>
      <c r="D28" s="766">
        <f>SUM(D8:D27)</f>
        <v>100</v>
      </c>
      <c r="E28" s="767">
        <f t="shared" ref="E28:L28" si="13">SUM(E8:E27)</f>
        <v>59.999999999999993</v>
      </c>
      <c r="F28" s="768">
        <f t="shared" si="13"/>
        <v>21000000</v>
      </c>
      <c r="G28" s="768">
        <f t="shared" si="13"/>
        <v>800846284.94999993</v>
      </c>
      <c r="H28" s="768">
        <f t="shared" si="13"/>
        <v>926252229.04999995</v>
      </c>
      <c r="I28" s="769">
        <f t="shared" si="13"/>
        <v>22.458754516340854</v>
      </c>
      <c r="J28" s="770">
        <f t="shared" si="13"/>
        <v>99.999999999999986</v>
      </c>
      <c r="K28" s="767">
        <f t="shared" si="13"/>
        <v>30</v>
      </c>
      <c r="L28" s="771">
        <f t="shared" si="13"/>
        <v>10499999.999999998</v>
      </c>
      <c r="M28" s="326">
        <f t="shared" si="6"/>
        <v>31500000</v>
      </c>
      <c r="N28" s="772">
        <f t="shared" ref="N28:S28" si="14">SUM(N8:N27)</f>
        <v>90</v>
      </c>
      <c r="O28" s="772">
        <f t="shared" si="14"/>
        <v>6.5117970479094582</v>
      </c>
      <c r="P28" s="772">
        <f t="shared" si="14"/>
        <v>100</v>
      </c>
      <c r="Q28" s="772">
        <f t="shared" si="14"/>
        <v>10</v>
      </c>
      <c r="R28" s="771">
        <f>SUM(R8:R27)</f>
        <v>3500000</v>
      </c>
      <c r="S28" s="326">
        <f t="shared" si="14"/>
        <v>35000000</v>
      </c>
      <c r="T28" s="73">
        <f>SUM(T8:T27)</f>
        <v>100</v>
      </c>
      <c r="U28" s="74"/>
      <c r="V28" s="75">
        <f>SUM(V8:V27)</f>
        <v>24.538698253136822</v>
      </c>
      <c r="W28" s="75"/>
      <c r="Y28" s="74"/>
      <c r="Z28" s="76"/>
      <c r="AA28" s="74"/>
      <c r="AB28" s="74"/>
    </row>
    <row r="29" spans="2:28" s="5" customFormat="1" ht="16.5" customHeight="1" x14ac:dyDescent="0.25">
      <c r="B29" s="773" t="s">
        <v>361</v>
      </c>
      <c r="C29" s="774"/>
      <c r="D29" s="775"/>
      <c r="E29" s="776"/>
      <c r="F29" s="777"/>
      <c r="G29" s="778"/>
      <c r="H29" s="779"/>
      <c r="I29" s="779"/>
      <c r="J29" s="779"/>
      <c r="K29" s="777"/>
      <c r="L29" s="780"/>
      <c r="M29" s="778"/>
      <c r="N29" s="776"/>
      <c r="O29" s="781"/>
      <c r="P29" s="780"/>
      <c r="Q29" s="780"/>
      <c r="R29" s="780"/>
      <c r="S29" s="899"/>
      <c r="T29" s="776"/>
      <c r="U29" s="781"/>
      <c r="V29" s="75"/>
      <c r="W29" s="75"/>
      <c r="Y29" s="74"/>
      <c r="Z29" s="76"/>
      <c r="AA29" s="74"/>
      <c r="AB29" s="74"/>
    </row>
    <row r="30" spans="2:28" s="5" customFormat="1" ht="23.25" customHeight="1" x14ac:dyDescent="0.25">
      <c r="B30" s="782" t="s">
        <v>293</v>
      </c>
      <c r="C30" s="1095" t="s">
        <v>362</v>
      </c>
      <c r="D30" s="1096"/>
      <c r="E30" s="1096"/>
      <c r="F30" s="1096"/>
      <c r="G30" s="1096"/>
      <c r="H30" s="1096"/>
      <c r="I30" s="1096"/>
      <c r="J30" s="1096"/>
      <c r="K30" s="1096"/>
      <c r="L30" s="1096"/>
      <c r="M30" s="1096"/>
      <c r="N30" s="1096"/>
      <c r="O30" s="1096"/>
      <c r="P30" s="1096"/>
      <c r="Q30" s="1096"/>
      <c r="R30" s="1096"/>
      <c r="S30" s="1096"/>
      <c r="T30" s="1096"/>
      <c r="U30" s="1096"/>
      <c r="W30" s="75"/>
    </row>
    <row r="31" spans="2:28" ht="15" customHeight="1" x14ac:dyDescent="0.25">
      <c r="C31" s="1096" t="s">
        <v>363</v>
      </c>
      <c r="D31" s="1096"/>
      <c r="E31" s="1096"/>
      <c r="F31" s="1096"/>
      <c r="G31" s="1096"/>
      <c r="H31" s="1096"/>
      <c r="I31" s="1096"/>
      <c r="J31" s="1096"/>
      <c r="K31" s="1096"/>
      <c r="L31" s="1096"/>
      <c r="M31" s="1096"/>
      <c r="N31" s="1096"/>
      <c r="O31" s="1096"/>
      <c r="P31" s="1096"/>
      <c r="Q31" s="1096"/>
      <c r="R31" s="1096"/>
      <c r="S31" s="1096"/>
      <c r="T31" s="1096"/>
      <c r="U31" s="1096"/>
    </row>
    <row r="32" spans="2:28" ht="15" customHeight="1" x14ac:dyDescent="0.25">
      <c r="C32" s="788"/>
      <c r="D32" s="788"/>
      <c r="E32" s="788"/>
      <c r="F32" s="788"/>
      <c r="G32" s="788"/>
      <c r="H32" s="788"/>
      <c r="I32" s="788"/>
      <c r="J32" s="788"/>
      <c r="K32" s="788"/>
      <c r="L32" s="788"/>
      <c r="M32" s="788"/>
      <c r="N32" s="788"/>
      <c r="O32" s="788"/>
      <c r="P32" s="788"/>
      <c r="Q32" s="788"/>
      <c r="R32" s="788"/>
      <c r="S32" s="788"/>
      <c r="T32" s="788"/>
      <c r="U32" s="788"/>
    </row>
    <row r="33" spans="3:19" ht="15" customHeight="1" x14ac:dyDescent="0.25">
      <c r="C33" s="788"/>
      <c r="D33" s="788"/>
      <c r="E33" s="788"/>
      <c r="F33" s="788"/>
      <c r="G33" s="788"/>
      <c r="H33" s="788"/>
      <c r="I33" s="788"/>
      <c r="J33" s="788"/>
      <c r="K33" s="788"/>
      <c r="L33" s="788"/>
      <c r="M33" s="788"/>
      <c r="N33" s="788"/>
      <c r="O33" s="788"/>
      <c r="P33" s="788"/>
      <c r="Q33" s="788"/>
      <c r="R33" s="788"/>
      <c r="S33" s="788"/>
    </row>
  </sheetData>
  <mergeCells count="21">
    <mergeCell ref="C30:U30"/>
    <mergeCell ref="C31:U31"/>
    <mergeCell ref="T3:T7"/>
    <mergeCell ref="D4:D5"/>
    <mergeCell ref="F4:F6"/>
    <mergeCell ref="G4:H5"/>
    <mergeCell ref="I4:I6"/>
    <mergeCell ref="J4:J6"/>
    <mergeCell ref="L4:L6"/>
    <mergeCell ref="M4:M6"/>
    <mergeCell ref="N4:N6"/>
    <mergeCell ref="O4:O6"/>
    <mergeCell ref="B1:S1"/>
    <mergeCell ref="B3:B7"/>
    <mergeCell ref="C3:F3"/>
    <mergeCell ref="G3:L3"/>
    <mergeCell ref="M3:R3"/>
    <mergeCell ref="P4:P7"/>
    <mergeCell ref="Q4:Q6"/>
    <mergeCell ref="R4:R6"/>
    <mergeCell ref="S4:S6"/>
  </mergeCells>
  <pageMargins left="0.74" right="0.35" top="0.74803149606299213" bottom="0.74803149606299213" header="0.31496062992125984" footer="0.31496062992125984"/>
  <pageSetup paperSize="5" scale="5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36"/>
  <sheetViews>
    <sheetView zoomScaleNormal="100" workbookViewId="0">
      <selection activeCell="A2" sqref="A2:O2"/>
    </sheetView>
  </sheetViews>
  <sheetFormatPr baseColWidth="10" defaultColWidth="11.42578125" defaultRowHeight="12.75" x14ac:dyDescent="0.2"/>
  <cols>
    <col min="1" max="1" width="16.85546875" style="331" customWidth="1"/>
    <col min="2" max="2" width="9.28515625" style="331" bestFit="1" customWidth="1"/>
    <col min="3" max="3" width="9.85546875" style="331" customWidth="1"/>
    <col min="4" max="5" width="10" style="331" customWidth="1"/>
    <col min="6" max="6" width="9.5703125" style="331" customWidth="1"/>
    <col min="7" max="7" width="9.42578125" style="331" customWidth="1"/>
    <col min="8" max="8" width="8.85546875" style="331" customWidth="1"/>
    <col min="9" max="9" width="9.85546875" style="331" customWidth="1"/>
    <col min="10" max="10" width="9.42578125" style="331" customWidth="1"/>
    <col min="11" max="12" width="9.7109375" style="331" customWidth="1"/>
    <col min="13" max="13" width="10.42578125" style="331" customWidth="1"/>
    <col min="14" max="14" width="10.5703125" style="331" customWidth="1"/>
    <col min="15" max="15" width="12.7109375" style="331" bestFit="1" customWidth="1"/>
    <col min="16" max="16384" width="11.42578125" style="331"/>
  </cols>
  <sheetData>
    <row r="1" spans="1:15" ht="15.75" x14ac:dyDescent="0.25">
      <c r="A1" s="1104" t="s">
        <v>269</v>
      </c>
      <c r="B1" s="1104"/>
      <c r="C1" s="1104"/>
      <c r="D1" s="1104"/>
      <c r="E1" s="1104"/>
      <c r="F1" s="1104"/>
      <c r="G1" s="1104"/>
      <c r="H1" s="1104"/>
      <c r="I1" s="1104"/>
      <c r="J1" s="1104"/>
      <c r="K1" s="1104"/>
      <c r="L1" s="1104"/>
      <c r="M1" s="1104"/>
      <c r="N1" s="1104"/>
      <c r="O1" s="1104"/>
    </row>
    <row r="2" spans="1:15" x14ac:dyDescent="0.2">
      <c r="A2" s="1105" t="s">
        <v>270</v>
      </c>
      <c r="B2" s="1105"/>
      <c r="C2" s="1105"/>
      <c r="D2" s="1105"/>
      <c r="E2" s="1105"/>
      <c r="F2" s="1105"/>
      <c r="G2" s="1105"/>
      <c r="H2" s="1105"/>
      <c r="I2" s="1105"/>
      <c r="J2" s="1105"/>
      <c r="K2" s="1105"/>
      <c r="L2" s="1105"/>
      <c r="M2" s="1105"/>
      <c r="N2" s="1105"/>
      <c r="O2" s="1105"/>
    </row>
    <row r="3" spans="1:15" x14ac:dyDescent="0.2">
      <c r="A3" s="1105" t="s">
        <v>271</v>
      </c>
      <c r="B3" s="1105"/>
      <c r="C3" s="1105"/>
      <c r="D3" s="1105"/>
      <c r="E3" s="1105"/>
      <c r="F3" s="1105"/>
      <c r="G3" s="1105"/>
      <c r="H3" s="1105"/>
      <c r="I3" s="1105"/>
      <c r="J3" s="1105"/>
      <c r="K3" s="1105"/>
      <c r="L3" s="1105"/>
      <c r="M3" s="1105"/>
      <c r="N3" s="1105"/>
      <c r="O3" s="1105"/>
    </row>
    <row r="4" spans="1:15" x14ac:dyDescent="0.2">
      <c r="A4" s="1106" t="s">
        <v>272</v>
      </c>
      <c r="B4" s="1106"/>
      <c r="C4" s="1106"/>
      <c r="D4" s="1106"/>
      <c r="E4" s="1106"/>
      <c r="F4" s="1106"/>
      <c r="G4" s="1106"/>
      <c r="H4" s="1106"/>
      <c r="I4" s="1106"/>
      <c r="J4" s="1106"/>
      <c r="K4" s="1106"/>
      <c r="L4" s="1106"/>
      <c r="M4" s="1106"/>
      <c r="N4" s="1106"/>
      <c r="O4" s="1106"/>
    </row>
    <row r="5" spans="1:15" ht="13.5" thickBot="1" x14ac:dyDescent="0.25"/>
    <row r="6" spans="1:15" ht="23.25" thickBot="1" x14ac:dyDescent="0.25">
      <c r="A6" s="332" t="s">
        <v>13</v>
      </c>
      <c r="B6" s="698" t="s">
        <v>273</v>
      </c>
      <c r="C6" s="332" t="s">
        <v>1</v>
      </c>
      <c r="D6" s="333" t="s">
        <v>2</v>
      </c>
      <c r="E6" s="332" t="s">
        <v>3</v>
      </c>
      <c r="F6" s="333" t="s">
        <v>4</v>
      </c>
      <c r="G6" s="332" t="s">
        <v>5</v>
      </c>
      <c r="H6" s="332" t="s">
        <v>6</v>
      </c>
      <c r="I6" s="332" t="s">
        <v>7</v>
      </c>
      <c r="J6" s="333" t="s">
        <v>8</v>
      </c>
      <c r="K6" s="332" t="s">
        <v>9</v>
      </c>
      <c r="L6" s="333" t="s">
        <v>10</v>
      </c>
      <c r="M6" s="332" t="s">
        <v>11</v>
      </c>
      <c r="N6" s="332" t="s">
        <v>12</v>
      </c>
      <c r="O6" s="334" t="s">
        <v>165</v>
      </c>
    </row>
    <row r="7" spans="1:15" x14ac:dyDescent="0.2">
      <c r="A7" s="335" t="s">
        <v>274</v>
      </c>
      <c r="B7" s="336">
        <v>3.9399999999999998E-2</v>
      </c>
      <c r="C7" s="337">
        <v>56963.546951054755</v>
      </c>
      <c r="D7" s="338">
        <v>86906.697217008536</v>
      </c>
      <c r="E7" s="337">
        <v>59746.246585840105</v>
      </c>
      <c r="F7" s="338">
        <v>67867.982827057887</v>
      </c>
      <c r="G7" s="337">
        <v>64660.762935787861</v>
      </c>
      <c r="H7" s="337">
        <v>67599.96159390721</v>
      </c>
      <c r="I7" s="339">
        <v>68696.572300394633</v>
      </c>
      <c r="J7" s="338">
        <v>71269.225402021868</v>
      </c>
      <c r="K7" s="337">
        <v>68949.326174828399</v>
      </c>
      <c r="L7" s="338">
        <v>67391.350673871697</v>
      </c>
      <c r="M7" s="337">
        <v>65860.428313614349</v>
      </c>
      <c r="N7" s="337">
        <v>66121.899024612852</v>
      </c>
      <c r="O7" s="340">
        <f>SUM(C7:N7)</f>
        <v>812034</v>
      </c>
    </row>
    <row r="8" spans="1:15" x14ac:dyDescent="0.2">
      <c r="A8" s="335" t="s">
        <v>144</v>
      </c>
      <c r="B8" s="341">
        <v>5.7799999999999997E-2</v>
      </c>
      <c r="C8" s="337">
        <v>83565.812532257987</v>
      </c>
      <c r="D8" s="338">
        <v>127492.56596809882</v>
      </c>
      <c r="E8" s="337">
        <v>87648.047021866951</v>
      </c>
      <c r="F8" s="338">
        <v>99562.675314820954</v>
      </c>
      <c r="G8" s="337">
        <v>94857.667454023816</v>
      </c>
      <c r="H8" s="337">
        <v>99169.486805275053</v>
      </c>
      <c r="I8" s="337">
        <v>100778.22027824391</v>
      </c>
      <c r="J8" s="338">
        <v>104552.31543748386</v>
      </c>
      <c r="K8" s="337">
        <v>101149.01149505284</v>
      </c>
      <c r="L8" s="338">
        <v>98863.453526644254</v>
      </c>
      <c r="M8" s="337">
        <v>96617.582652967249</v>
      </c>
      <c r="N8" s="337">
        <v>97001.161513264538</v>
      </c>
      <c r="O8" s="340">
        <f t="shared" ref="O8:O26" si="0">SUM(C8:N8)</f>
        <v>1191258.0000000002</v>
      </c>
    </row>
    <row r="9" spans="1:15" x14ac:dyDescent="0.2">
      <c r="A9" s="335" t="s">
        <v>145</v>
      </c>
      <c r="B9" s="341">
        <v>6.1199999999999997E-2</v>
      </c>
      <c r="C9" s="337">
        <v>88481.44856356729</v>
      </c>
      <c r="D9" s="338">
        <v>134992.12867210462</v>
      </c>
      <c r="E9" s="337">
        <v>92803.814493741476</v>
      </c>
      <c r="F9" s="338">
        <v>105419.30327451631</v>
      </c>
      <c r="G9" s="337">
        <v>100437.53024543698</v>
      </c>
      <c r="H9" s="337">
        <v>105002.98602911476</v>
      </c>
      <c r="I9" s="337">
        <v>106706.3508828465</v>
      </c>
      <c r="J9" s="338">
        <v>110702.45163968879</v>
      </c>
      <c r="K9" s="337">
        <v>107098.95334770301</v>
      </c>
      <c r="L9" s="338">
        <v>104678.95079291746</v>
      </c>
      <c r="M9" s="337">
        <v>102300.96986784769</v>
      </c>
      <c r="N9" s="337">
        <v>102707.1121905154</v>
      </c>
      <c r="O9" s="340">
        <f t="shared" si="0"/>
        <v>1261332.0000000005</v>
      </c>
    </row>
    <row r="10" spans="1:15" x14ac:dyDescent="0.2">
      <c r="A10" s="335" t="s">
        <v>275</v>
      </c>
      <c r="B10" s="341">
        <v>5.0799999999999998E-2</v>
      </c>
      <c r="C10" s="337">
        <v>73445.385408974151</v>
      </c>
      <c r="D10" s="338">
        <v>112052.28981279273</v>
      </c>
      <c r="E10" s="337">
        <v>77033.231638595869</v>
      </c>
      <c r="F10" s="338">
        <v>87504.911868389361</v>
      </c>
      <c r="G10" s="337">
        <v>83369.714648173191</v>
      </c>
      <c r="H10" s="337">
        <v>87159.341344428598</v>
      </c>
      <c r="I10" s="337">
        <v>88573.245504062128</v>
      </c>
      <c r="J10" s="338">
        <v>91890.270315297239</v>
      </c>
      <c r="K10" s="337">
        <v>88899.131210184845</v>
      </c>
      <c r="L10" s="338">
        <v>86890.370919611218</v>
      </c>
      <c r="M10" s="337">
        <v>84916.491328213437</v>
      </c>
      <c r="N10" s="337">
        <v>85253.616001277493</v>
      </c>
      <c r="O10" s="340">
        <f t="shared" si="0"/>
        <v>1046988.0000000002</v>
      </c>
    </row>
    <row r="11" spans="1:15" x14ac:dyDescent="0.2">
      <c r="A11" s="335" t="s">
        <v>147</v>
      </c>
      <c r="B11" s="341">
        <v>3.0700000000000002E-2</v>
      </c>
      <c r="C11" s="337">
        <v>44385.301812116275</v>
      </c>
      <c r="D11" s="338">
        <v>67716.63970969955</v>
      </c>
      <c r="E11" s="337">
        <v>46553.54746663176</v>
      </c>
      <c r="F11" s="338">
        <v>52881.905400778611</v>
      </c>
      <c r="G11" s="337">
        <v>50382.878734230646</v>
      </c>
      <c r="H11" s="337">
        <v>52673.066521140907</v>
      </c>
      <c r="I11" s="337">
        <v>53527.532223911563</v>
      </c>
      <c r="J11" s="338">
        <v>55532.112178732787</v>
      </c>
      <c r="K11" s="337">
        <v>53724.474963635337</v>
      </c>
      <c r="L11" s="338">
        <v>52510.519433702058</v>
      </c>
      <c r="M11" s="337">
        <v>51317.643381420326</v>
      </c>
      <c r="N11" s="337">
        <v>51521.378174000376</v>
      </c>
      <c r="O11" s="340">
        <f t="shared" si="0"/>
        <v>632727.00000000023</v>
      </c>
    </row>
    <row r="12" spans="1:15" x14ac:dyDescent="0.2">
      <c r="A12" s="335" t="s">
        <v>276</v>
      </c>
      <c r="B12" s="341">
        <v>9.5100000000000004E-2</v>
      </c>
      <c r="C12" s="337">
        <v>137493.23134632761</v>
      </c>
      <c r="D12" s="338">
        <v>209767.18033851555</v>
      </c>
      <c r="E12" s="337">
        <v>144209.84899272575</v>
      </c>
      <c r="F12" s="338">
        <v>163813.32910794936</v>
      </c>
      <c r="G12" s="337">
        <v>156072.0445480565</v>
      </c>
      <c r="H12" s="337">
        <v>163166.40476092836</v>
      </c>
      <c r="I12" s="337">
        <v>165813.30014638402</v>
      </c>
      <c r="J12" s="338">
        <v>172022.92730284977</v>
      </c>
      <c r="K12" s="337">
        <v>166423.37358442086</v>
      </c>
      <c r="L12" s="338">
        <v>162662.87941840605</v>
      </c>
      <c r="M12" s="337">
        <v>158967.68356915549</v>
      </c>
      <c r="N12" s="337">
        <v>159598.7968842813</v>
      </c>
      <c r="O12" s="340">
        <f t="shared" si="0"/>
        <v>1960011.0000000005</v>
      </c>
    </row>
    <row r="13" spans="1:15" x14ac:dyDescent="0.2">
      <c r="A13" s="335" t="s">
        <v>149</v>
      </c>
      <c r="B13" s="341">
        <v>9.3299999999999994E-2</v>
      </c>
      <c r="C13" s="337">
        <v>134890.83580034031</v>
      </c>
      <c r="D13" s="338">
        <v>205796.82361286538</v>
      </c>
      <c r="E13" s="337">
        <v>141480.32503702745</v>
      </c>
      <c r="F13" s="338">
        <v>160712.76136458124</v>
      </c>
      <c r="G13" s="337">
        <v>153117.99954083774</v>
      </c>
      <c r="H13" s="337">
        <v>160078.08164242495</v>
      </c>
      <c r="I13" s="337">
        <v>162674.87806159441</v>
      </c>
      <c r="J13" s="338">
        <v>168766.9728428589</v>
      </c>
      <c r="K13" s="337">
        <v>163273.40436831192</v>
      </c>
      <c r="L13" s="338">
        <v>159584.08674802611</v>
      </c>
      <c r="M13" s="337">
        <v>155958.83151421876</v>
      </c>
      <c r="N13" s="337">
        <v>156577.99946691317</v>
      </c>
      <c r="O13" s="340">
        <f t="shared" si="0"/>
        <v>1922913.0000000005</v>
      </c>
    </row>
    <row r="14" spans="1:15" x14ac:dyDescent="0.2">
      <c r="A14" s="335" t="s">
        <v>150</v>
      </c>
      <c r="B14" s="341">
        <v>4.5199999999999997E-2</v>
      </c>
      <c r="C14" s="337">
        <v>65349.043710347076</v>
      </c>
      <c r="D14" s="338">
        <v>99700.068888547859</v>
      </c>
      <c r="E14" s="337">
        <v>68541.379331978998</v>
      </c>
      <c r="F14" s="338">
        <v>77858.701111244067</v>
      </c>
      <c r="G14" s="337">
        <v>74179.352403492667</v>
      </c>
      <c r="H14" s="337">
        <v>77551.224975751422</v>
      </c>
      <c r="I14" s="337">
        <v>78809.265684716695</v>
      </c>
      <c r="J14" s="338">
        <v>81760.634217547937</v>
      </c>
      <c r="K14" s="337">
        <v>79099.226982290449</v>
      </c>
      <c r="L14" s="338">
        <v>77311.90483398478</v>
      </c>
      <c r="M14" s="337">
        <v>75555.618268410384</v>
      </c>
      <c r="N14" s="337">
        <v>75855.579591687841</v>
      </c>
      <c r="O14" s="340">
        <f t="shared" si="0"/>
        <v>931572.00000000035</v>
      </c>
    </row>
    <row r="15" spans="1:15" x14ac:dyDescent="0.2">
      <c r="A15" s="335" t="s">
        <v>151</v>
      </c>
      <c r="B15" s="341">
        <v>5.0799999999999998E-2</v>
      </c>
      <c r="C15" s="337">
        <v>73445.385408974151</v>
      </c>
      <c r="D15" s="338">
        <v>112052.28981279273</v>
      </c>
      <c r="E15" s="337">
        <v>77033.231638595869</v>
      </c>
      <c r="F15" s="338">
        <v>87504.911868389361</v>
      </c>
      <c r="G15" s="337">
        <v>83369.714648173191</v>
      </c>
      <c r="H15" s="337">
        <v>87159.341344428598</v>
      </c>
      <c r="I15" s="337">
        <v>88573.245504062128</v>
      </c>
      <c r="J15" s="338">
        <v>91890.270315297239</v>
      </c>
      <c r="K15" s="337">
        <v>88899.131210184845</v>
      </c>
      <c r="L15" s="338">
        <v>86890.370919611218</v>
      </c>
      <c r="M15" s="337">
        <v>84916.491328213437</v>
      </c>
      <c r="N15" s="337">
        <v>85253.616001277493</v>
      </c>
      <c r="O15" s="340">
        <f t="shared" si="0"/>
        <v>1046988.0000000002</v>
      </c>
    </row>
    <row r="16" spans="1:15" x14ac:dyDescent="0.2">
      <c r="A16" s="335" t="s">
        <v>152</v>
      </c>
      <c r="B16" s="341">
        <v>8.9200000000000002E-2</v>
      </c>
      <c r="C16" s="337">
        <v>128963.15705670265</v>
      </c>
      <c r="D16" s="338">
        <v>196753.23329332899</v>
      </c>
      <c r="E16" s="337">
        <v>135263.07602682582</v>
      </c>
      <c r="F16" s="338">
        <v>153650.35706024274</v>
      </c>
      <c r="G16" s="337">
        <v>146389.34146883953</v>
      </c>
      <c r="H16" s="337">
        <v>153043.5678725006</v>
      </c>
      <c r="I16" s="337">
        <v>155526.24997957365</v>
      </c>
      <c r="J16" s="338">
        <v>161350.6321284353</v>
      </c>
      <c r="K16" s="337">
        <v>156098.47448717497</v>
      </c>
      <c r="L16" s="338">
        <v>152571.28122104963</v>
      </c>
      <c r="M16" s="337">
        <v>149105.33516686296</v>
      </c>
      <c r="N16" s="337">
        <v>149697.29423846363</v>
      </c>
      <c r="O16" s="340">
        <f t="shared" si="0"/>
        <v>1838412.0000000005</v>
      </c>
    </row>
    <row r="17" spans="1:15" x14ac:dyDescent="0.2">
      <c r="A17" s="335" t="s">
        <v>153</v>
      </c>
      <c r="B17" s="341">
        <v>5.0200000000000002E-2</v>
      </c>
      <c r="C17" s="337">
        <v>72577.9202269784</v>
      </c>
      <c r="D17" s="338">
        <v>110728.83757090935</v>
      </c>
      <c r="E17" s="337">
        <v>76123.390320029779</v>
      </c>
      <c r="F17" s="338">
        <v>86471.389287266647</v>
      </c>
      <c r="G17" s="337">
        <v>82385.032979100273</v>
      </c>
      <c r="H17" s="337">
        <v>86129.900304927476</v>
      </c>
      <c r="I17" s="337">
        <v>87527.104809132259</v>
      </c>
      <c r="J17" s="338">
        <v>90804.952161966954</v>
      </c>
      <c r="K17" s="337">
        <v>87849.141471481882</v>
      </c>
      <c r="L17" s="338">
        <v>85864.106696151255</v>
      </c>
      <c r="M17" s="337">
        <v>83913.540643234548</v>
      </c>
      <c r="N17" s="337">
        <v>84246.683528821464</v>
      </c>
      <c r="O17" s="340">
        <f t="shared" si="0"/>
        <v>1034622.0000000002</v>
      </c>
    </row>
    <row r="18" spans="1:15" x14ac:dyDescent="0.2">
      <c r="A18" s="335" t="s">
        <v>154</v>
      </c>
      <c r="B18" s="341">
        <v>4.2900000000000001E-2</v>
      </c>
      <c r="C18" s="337">
        <v>62023.760512696681</v>
      </c>
      <c r="D18" s="338">
        <v>94626.835294661578</v>
      </c>
      <c r="E18" s="337">
        <v>65053.654277475653</v>
      </c>
      <c r="F18" s="338">
        <v>73896.864550273691</v>
      </c>
      <c r="G18" s="337">
        <v>70404.739338713189</v>
      </c>
      <c r="H18" s="337">
        <v>73605.034324330452</v>
      </c>
      <c r="I18" s="337">
        <v>74799.05968748554</v>
      </c>
      <c r="J18" s="338">
        <v>77600.247963115195</v>
      </c>
      <c r="K18" s="337">
        <v>75074.266317262402</v>
      </c>
      <c r="L18" s="338">
        <v>73377.891977388223</v>
      </c>
      <c r="M18" s="337">
        <v>71710.973975991277</v>
      </c>
      <c r="N18" s="337">
        <v>71995.671780606383</v>
      </c>
      <c r="O18" s="340">
        <f t="shared" si="0"/>
        <v>884169.00000000023</v>
      </c>
    </row>
    <row r="19" spans="1:15" x14ac:dyDescent="0.2">
      <c r="A19" s="335" t="s">
        <v>155</v>
      </c>
      <c r="B19" s="341">
        <v>3.04E-2</v>
      </c>
      <c r="C19" s="337">
        <v>43951.569221118392</v>
      </c>
      <c r="D19" s="338">
        <v>67054.91358875786</v>
      </c>
      <c r="E19" s="337">
        <v>46098.626807348708</v>
      </c>
      <c r="F19" s="338">
        <v>52365.144110217254</v>
      </c>
      <c r="G19" s="337">
        <v>49890.537899694187</v>
      </c>
      <c r="H19" s="337">
        <v>52158.346001390346</v>
      </c>
      <c r="I19" s="337">
        <v>53004.461876446629</v>
      </c>
      <c r="J19" s="338">
        <v>54989.453102067637</v>
      </c>
      <c r="K19" s="337">
        <v>53199.480094283848</v>
      </c>
      <c r="L19" s="338">
        <v>51997.38732197207</v>
      </c>
      <c r="M19" s="337">
        <v>50816.168038930875</v>
      </c>
      <c r="N19" s="337">
        <v>51017.911937772355</v>
      </c>
      <c r="O19" s="340">
        <f t="shared" si="0"/>
        <v>626544.00000000023</v>
      </c>
    </row>
    <row r="20" spans="1:15" x14ac:dyDescent="0.2">
      <c r="A20" s="335" t="s">
        <v>277</v>
      </c>
      <c r="B20" s="341">
        <v>6.7000000000000004E-2</v>
      </c>
      <c r="C20" s="337">
        <v>96866.94532285961</v>
      </c>
      <c r="D20" s="338">
        <v>147785.50034364397</v>
      </c>
      <c r="E20" s="337">
        <v>101598.94723988039</v>
      </c>
      <c r="F20" s="338">
        <v>115410.02155870252</v>
      </c>
      <c r="G20" s="337">
        <v>109956.1197131418</v>
      </c>
      <c r="H20" s="337">
        <v>114954.24941095899</v>
      </c>
      <c r="I20" s="337">
        <v>116819.04426716856</v>
      </c>
      <c r="J20" s="338">
        <v>121193.86045521488</v>
      </c>
      <c r="K20" s="337">
        <v>117248.85415516507</v>
      </c>
      <c r="L20" s="338">
        <v>114599.50495303056</v>
      </c>
      <c r="M20" s="337">
        <v>111996.15982264372</v>
      </c>
      <c r="N20" s="337">
        <v>112440.7927575904</v>
      </c>
      <c r="O20" s="340">
        <f t="shared" si="0"/>
        <v>1380870.0000000002</v>
      </c>
    </row>
    <row r="21" spans="1:15" x14ac:dyDescent="0.2">
      <c r="A21" s="335" t="s">
        <v>278</v>
      </c>
      <c r="B21" s="341">
        <v>5.0799999999999998E-2</v>
      </c>
      <c r="C21" s="337">
        <v>73445.385408974151</v>
      </c>
      <c r="D21" s="338">
        <v>112052.28981279273</v>
      </c>
      <c r="E21" s="337">
        <v>77033.231638595869</v>
      </c>
      <c r="F21" s="338">
        <v>87504.911868389361</v>
      </c>
      <c r="G21" s="337">
        <v>83369.714648173191</v>
      </c>
      <c r="H21" s="337">
        <v>87159.341344428598</v>
      </c>
      <c r="I21" s="337">
        <v>88573.245504062128</v>
      </c>
      <c r="J21" s="338">
        <v>91890.270315297239</v>
      </c>
      <c r="K21" s="337">
        <v>88899.131210184845</v>
      </c>
      <c r="L21" s="338">
        <v>86890.370919611218</v>
      </c>
      <c r="M21" s="337">
        <v>84916.491328213437</v>
      </c>
      <c r="N21" s="337">
        <v>85253.616001277493</v>
      </c>
      <c r="O21" s="340">
        <f t="shared" si="0"/>
        <v>1046988.0000000002</v>
      </c>
    </row>
    <row r="22" spans="1:15" x14ac:dyDescent="0.2">
      <c r="A22" s="335" t="s">
        <v>279</v>
      </c>
      <c r="B22" s="341">
        <v>1.7000000000000001E-2</v>
      </c>
      <c r="C22" s="337">
        <v>24578.18015654647</v>
      </c>
      <c r="D22" s="338">
        <v>37497.813520029071</v>
      </c>
      <c r="E22" s="337">
        <v>25778.837359372636</v>
      </c>
      <c r="F22" s="338">
        <v>29283.139798476757</v>
      </c>
      <c r="G22" s="337">
        <v>27899.313957065831</v>
      </c>
      <c r="H22" s="337">
        <v>29167.496119198549</v>
      </c>
      <c r="I22" s="337">
        <v>29640.653023012917</v>
      </c>
      <c r="J22" s="338">
        <v>30750.68101102467</v>
      </c>
      <c r="K22" s="337">
        <v>29749.709263250839</v>
      </c>
      <c r="L22" s="338">
        <v>29077.486331365963</v>
      </c>
      <c r="M22" s="337">
        <v>28416.936074402136</v>
      </c>
      <c r="N22" s="337">
        <v>28529.75338625428</v>
      </c>
      <c r="O22" s="340">
        <f t="shared" si="0"/>
        <v>350370.00000000012</v>
      </c>
    </row>
    <row r="23" spans="1:15" x14ac:dyDescent="0.2">
      <c r="A23" s="335" t="s">
        <v>159</v>
      </c>
      <c r="B23" s="341">
        <v>4.0800000000000003E-2</v>
      </c>
      <c r="C23" s="337">
        <v>58987.632375711531</v>
      </c>
      <c r="D23" s="338">
        <v>89994.752448069761</v>
      </c>
      <c r="E23" s="337">
        <v>61869.20966249433</v>
      </c>
      <c r="F23" s="338">
        <v>70279.535516344215</v>
      </c>
      <c r="G23" s="337">
        <v>66958.353496957992</v>
      </c>
      <c r="H23" s="337">
        <v>70001.990686076519</v>
      </c>
      <c r="I23" s="337">
        <v>71137.567255230999</v>
      </c>
      <c r="J23" s="338">
        <v>73801.634426459204</v>
      </c>
      <c r="K23" s="337">
        <v>71399.302231802008</v>
      </c>
      <c r="L23" s="338">
        <v>69785.96719527831</v>
      </c>
      <c r="M23" s="337">
        <v>68200.646578565123</v>
      </c>
      <c r="N23" s="337">
        <v>68471.408127010276</v>
      </c>
      <c r="O23" s="340">
        <f t="shared" si="0"/>
        <v>840888.00000000023</v>
      </c>
    </row>
    <row r="24" spans="1:15" x14ac:dyDescent="0.2">
      <c r="A24" s="335" t="s">
        <v>160</v>
      </c>
      <c r="B24" s="341">
        <v>3.7000000000000002E-3</v>
      </c>
      <c r="C24" s="337">
        <v>5349.3686223071727</v>
      </c>
      <c r="D24" s="338">
        <v>8161.2888249475027</v>
      </c>
      <c r="E24" s="337">
        <v>5610.6881311575735</v>
      </c>
      <c r="F24" s="338">
        <v>6373.389250256706</v>
      </c>
      <c r="G24" s="337">
        <v>6072.2036259496217</v>
      </c>
      <c r="H24" s="337">
        <v>6348.2197435902726</v>
      </c>
      <c r="I24" s="337">
        <v>6451.2009520675174</v>
      </c>
      <c r="J24" s="338">
        <v>6692.795278870075</v>
      </c>
      <c r="K24" s="337">
        <v>6474.9367220016529</v>
      </c>
      <c r="L24" s="338">
        <v>6328.6293780031801</v>
      </c>
      <c r="M24" s="337">
        <v>6184.8625573698764</v>
      </c>
      <c r="N24" s="337">
        <v>6209.4169134788726</v>
      </c>
      <c r="O24" s="340">
        <f t="shared" si="0"/>
        <v>76257.000000000015</v>
      </c>
    </row>
    <row r="25" spans="1:15" x14ac:dyDescent="0.2">
      <c r="A25" s="335" t="s">
        <v>161</v>
      </c>
      <c r="B25" s="341">
        <v>3.7699999999999997E-2</v>
      </c>
      <c r="C25" s="337">
        <v>54505.728935400104</v>
      </c>
      <c r="D25" s="338">
        <v>83156.91586500562</v>
      </c>
      <c r="E25" s="337">
        <v>57168.362849902842</v>
      </c>
      <c r="F25" s="338">
        <v>64939.668847210211</v>
      </c>
      <c r="G25" s="337">
        <v>61870.831540081279</v>
      </c>
      <c r="H25" s="337">
        <v>64683.211981987362</v>
      </c>
      <c r="I25" s="337">
        <v>65732.506998093348</v>
      </c>
      <c r="J25" s="338">
        <v>68194.157300919396</v>
      </c>
      <c r="K25" s="337">
        <v>65974.355248503314</v>
      </c>
      <c r="L25" s="338">
        <v>64483.602040735095</v>
      </c>
      <c r="M25" s="337">
        <v>63018.734706174146</v>
      </c>
      <c r="N25" s="337">
        <v>63268.923685987422</v>
      </c>
      <c r="O25" s="340">
        <f t="shared" si="0"/>
        <v>776997</v>
      </c>
    </row>
    <row r="26" spans="1:15" ht="13.5" thickBot="1" x14ac:dyDescent="0.25">
      <c r="A26" s="335" t="s">
        <v>162</v>
      </c>
      <c r="B26" s="342">
        <v>4.5999999999999999E-2</v>
      </c>
      <c r="C26" s="337">
        <v>66505.663953008087</v>
      </c>
      <c r="D26" s="338">
        <v>101464.6718777257</v>
      </c>
      <c r="E26" s="337">
        <v>69754.501090067133</v>
      </c>
      <c r="F26" s="338">
        <v>79236.73121940768</v>
      </c>
      <c r="G26" s="337">
        <v>75492.261295589895</v>
      </c>
      <c r="H26" s="337">
        <v>78923.813028419594</v>
      </c>
      <c r="I26" s="343">
        <v>80204.119944623177</v>
      </c>
      <c r="J26" s="338">
        <v>83207.725088654974</v>
      </c>
      <c r="K26" s="337">
        <v>80499.213300561081</v>
      </c>
      <c r="L26" s="338">
        <v>78680.257131931416</v>
      </c>
      <c r="M26" s="337">
        <v>76892.885848382241</v>
      </c>
      <c r="N26" s="337">
        <v>77198.156221629222</v>
      </c>
      <c r="O26" s="340">
        <f t="shared" si="0"/>
        <v>948060.00000000023</v>
      </c>
    </row>
    <row r="27" spans="1:15" ht="13.5" thickBot="1" x14ac:dyDescent="0.25">
      <c r="A27" s="344" t="s">
        <v>280</v>
      </c>
      <c r="B27" s="345">
        <f>SUM(B7:B26)</f>
        <v>1</v>
      </c>
      <c r="C27" s="346">
        <f>SUM(C7:C26)</f>
        <v>1445775.3033262629</v>
      </c>
      <c r="D27" s="346">
        <f t="shared" ref="D27:O27" si="1">SUM(D7:D26)</f>
        <v>2205753.7364722979</v>
      </c>
      <c r="E27" s="346">
        <f t="shared" si="1"/>
        <v>1516402.197610155</v>
      </c>
      <c r="F27" s="346">
        <f t="shared" si="1"/>
        <v>1722537.6352045152</v>
      </c>
      <c r="G27" s="346">
        <f t="shared" si="1"/>
        <v>1641136.1151215194</v>
      </c>
      <c r="H27" s="346">
        <f t="shared" si="1"/>
        <v>1715735.0658352086</v>
      </c>
      <c r="I27" s="346">
        <f t="shared" si="1"/>
        <v>1743567.8248831125</v>
      </c>
      <c r="J27" s="346">
        <f t="shared" si="1"/>
        <v>1808863.5888838039</v>
      </c>
      <c r="K27" s="346">
        <f t="shared" si="1"/>
        <v>1749982.8978382845</v>
      </c>
      <c r="L27" s="346">
        <f t="shared" si="1"/>
        <v>1710440.3724332915</v>
      </c>
      <c r="M27" s="346">
        <f t="shared" si="1"/>
        <v>1671584.474964832</v>
      </c>
      <c r="N27" s="346">
        <f t="shared" si="1"/>
        <v>1678220.787426722</v>
      </c>
      <c r="O27" s="346">
        <f t="shared" si="1"/>
        <v>20610000.000000004</v>
      </c>
    </row>
    <row r="28" spans="1:15" x14ac:dyDescent="0.2">
      <c r="A28" s="494" t="s">
        <v>281</v>
      </c>
      <c r="B28" s="490"/>
      <c r="C28" s="490"/>
      <c r="D28" s="490"/>
      <c r="E28" s="490"/>
      <c r="F28" s="490"/>
      <c r="G28" s="490"/>
      <c r="H28" s="490"/>
      <c r="I28" s="490"/>
      <c r="J28" s="490"/>
      <c r="K28" s="490"/>
      <c r="L28" s="490"/>
      <c r="M28" s="490"/>
      <c r="N28" s="490"/>
      <c r="O28" s="490"/>
    </row>
    <row r="29" spans="1:15" x14ac:dyDescent="0.2">
      <c r="A29" s="489"/>
      <c r="B29" s="491"/>
      <c r="C29" s="491"/>
      <c r="D29" s="491"/>
      <c r="E29" s="491"/>
      <c r="F29" s="491"/>
      <c r="G29" s="491"/>
      <c r="H29" s="491"/>
      <c r="I29" s="491"/>
      <c r="J29" s="491"/>
      <c r="K29" s="491"/>
      <c r="L29" s="491"/>
      <c r="M29" s="491"/>
      <c r="N29" s="491"/>
      <c r="O29" s="491"/>
    </row>
    <row r="30" spans="1:15" x14ac:dyDescent="0.2">
      <c r="A30" s="492" t="s">
        <v>282</v>
      </c>
      <c r="B30" s="493"/>
      <c r="C30" s="493"/>
      <c r="D30" s="493"/>
      <c r="E30" s="493"/>
      <c r="F30" s="493"/>
      <c r="G30" s="493"/>
      <c r="H30" s="493"/>
      <c r="I30" s="493"/>
      <c r="J30" s="493"/>
      <c r="K30" s="493"/>
      <c r="L30" s="493"/>
      <c r="M30" s="493"/>
      <c r="N30" s="493"/>
      <c r="O30" s="493"/>
    </row>
    <row r="31" spans="1:15" ht="27" customHeight="1" x14ac:dyDescent="0.2">
      <c r="A31" s="1107" t="s">
        <v>283</v>
      </c>
      <c r="B31" s="1108"/>
      <c r="C31" s="1108"/>
      <c r="D31" s="1108"/>
      <c r="E31" s="1108"/>
      <c r="F31" s="1108"/>
      <c r="G31" s="1108"/>
      <c r="H31" s="1108"/>
      <c r="I31" s="1108"/>
      <c r="J31" s="1108"/>
      <c r="K31" s="1108"/>
      <c r="L31" s="1108"/>
      <c r="M31" s="1108"/>
      <c r="N31" s="1108"/>
      <c r="O31" s="1108"/>
    </row>
    <row r="34" spans="3:15" hidden="1" x14ac:dyDescent="0.2">
      <c r="C34" s="692">
        <f>ROUND(C27,2)</f>
        <v>1445775.3</v>
      </c>
      <c r="D34" s="692">
        <f t="shared" ref="D34:N34" si="2">ROUND(D27,2)</f>
        <v>2205753.7400000002</v>
      </c>
      <c r="E34" s="692">
        <f t="shared" si="2"/>
        <v>1516402.2</v>
      </c>
      <c r="F34" s="692">
        <f t="shared" si="2"/>
        <v>1722537.64</v>
      </c>
      <c r="G34" s="692">
        <f t="shared" si="2"/>
        <v>1641136.12</v>
      </c>
      <c r="H34" s="692">
        <f t="shared" si="2"/>
        <v>1715735.07</v>
      </c>
      <c r="I34" s="692">
        <f t="shared" si="2"/>
        <v>1743567.82</v>
      </c>
      <c r="J34" s="692">
        <f t="shared" si="2"/>
        <v>1808863.59</v>
      </c>
      <c r="K34" s="692">
        <f t="shared" si="2"/>
        <v>1749982.9</v>
      </c>
      <c r="L34" s="692">
        <f t="shared" si="2"/>
        <v>1710440.37</v>
      </c>
      <c r="M34" s="692">
        <f t="shared" si="2"/>
        <v>1671584.47</v>
      </c>
      <c r="N34" s="692">
        <f t="shared" si="2"/>
        <v>1678220.79</v>
      </c>
    </row>
    <row r="35" spans="3:15" hidden="1" x14ac:dyDescent="0.2"/>
    <row r="36" spans="3:15" hidden="1" x14ac:dyDescent="0.2">
      <c r="C36" s="693">
        <v>1445775.3</v>
      </c>
      <c r="D36" s="693">
        <v>2205753.7400000002</v>
      </c>
      <c r="E36" s="693">
        <v>1516402.2</v>
      </c>
      <c r="F36" s="693">
        <v>1722537.64</v>
      </c>
      <c r="G36" s="693">
        <v>1641136.12</v>
      </c>
      <c r="H36" s="693">
        <v>1715735.07</v>
      </c>
      <c r="I36" s="693">
        <v>1743567.82</v>
      </c>
      <c r="J36" s="693">
        <v>1808863.59</v>
      </c>
      <c r="K36" s="693">
        <v>1749982.9</v>
      </c>
      <c r="L36" s="693">
        <v>1710440.37</v>
      </c>
      <c r="M36" s="693">
        <v>1671584.47</v>
      </c>
      <c r="N36" s="693">
        <v>1678220.79</v>
      </c>
      <c r="O36" s="693">
        <f>SUM(C36:N36)</f>
        <v>20610000.009999998</v>
      </c>
    </row>
  </sheetData>
  <mergeCells count="5">
    <mergeCell ref="A1:O1"/>
    <mergeCell ref="A2:O2"/>
    <mergeCell ref="A3:O3"/>
    <mergeCell ref="A4:O4"/>
    <mergeCell ref="A31:O31"/>
  </mergeCells>
  <printOptions horizontalCentered="1"/>
  <pageMargins left="0.39" right="0.74803149606299213" top="0.98425196850393704" bottom="0.98425196850393704" header="0" footer="0"/>
  <pageSetup paperSize="5" scale="85" orientation="landscape" r:id="rId1"/>
  <headerFooter alignWithMargins="0"/>
  <ignoredErrors>
    <ignoredError sqref="O7 O8:O2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rgb="FFFFFF00"/>
    <pageSetUpPr fitToPage="1"/>
  </sheetPr>
  <dimension ref="B2:U135"/>
  <sheetViews>
    <sheetView zoomScale="110" zoomScaleNormal="110" workbookViewId="0">
      <selection activeCell="K31" sqref="K31"/>
    </sheetView>
  </sheetViews>
  <sheetFormatPr baseColWidth="10" defaultRowHeight="15" x14ac:dyDescent="0.25"/>
  <cols>
    <col min="1" max="1" width="12.140625" customWidth="1"/>
    <col min="2" max="2" width="7.140625" style="184"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9" customWidth="1"/>
    <col min="10" max="10" width="13.42578125" style="9"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8"/>
      <c r="D2" s="8"/>
      <c r="E2" s="8"/>
      <c r="F2" s="8"/>
      <c r="G2" s="8"/>
      <c r="H2" s="8"/>
      <c r="K2" s="182" t="s">
        <v>170</v>
      </c>
    </row>
    <row r="3" spans="2:16" x14ac:dyDescent="0.25">
      <c r="C3" s="8"/>
      <c r="D3" s="8"/>
      <c r="E3" s="8"/>
      <c r="F3" s="8"/>
      <c r="G3" s="8"/>
      <c r="H3" s="8"/>
      <c r="I3" s="57"/>
      <c r="J3" s="57"/>
    </row>
    <row r="4" spans="2:16" ht="15.75" thickBot="1" x14ac:dyDescent="0.3">
      <c r="C4" s="1018" t="s">
        <v>171</v>
      </c>
      <c r="D4" s="1018"/>
      <c r="E4" s="1018"/>
      <c r="F4" s="1018"/>
      <c r="G4" s="1018"/>
      <c r="H4" s="1018"/>
      <c r="I4" s="1018"/>
      <c r="J4" s="1018"/>
      <c r="K4" s="1018"/>
    </row>
    <row r="5" spans="2:16" x14ac:dyDescent="0.25">
      <c r="B5" s="1174" t="s">
        <v>391</v>
      </c>
      <c r="C5" s="1175"/>
      <c r="D5" s="1175"/>
      <c r="E5" s="1175"/>
      <c r="F5" s="1175"/>
      <c r="G5" s="1175"/>
      <c r="H5" s="1175"/>
      <c r="I5" s="1175"/>
      <c r="J5" s="1175"/>
      <c r="K5" s="1176"/>
    </row>
    <row r="6" spans="2:16" ht="15.75" thickBot="1" x14ac:dyDescent="0.3">
      <c r="B6" s="1177" t="s">
        <v>172</v>
      </c>
      <c r="C6" s="1178"/>
      <c r="D6" s="1178"/>
      <c r="E6" s="1178"/>
      <c r="F6" s="1178"/>
      <c r="G6" s="1178"/>
      <c r="H6" s="1179"/>
      <c r="I6" s="185"/>
      <c r="J6" s="186"/>
      <c r="K6" s="187" t="s">
        <v>19</v>
      </c>
    </row>
    <row r="7" spans="2:16" x14ac:dyDescent="0.25">
      <c r="B7" s="188"/>
      <c r="C7" s="130"/>
      <c r="D7" s="189"/>
      <c r="E7" s="189"/>
      <c r="F7" s="190"/>
      <c r="G7" s="191"/>
      <c r="H7" s="192"/>
      <c r="I7" s="193"/>
      <c r="J7" s="194"/>
      <c r="K7" s="192"/>
    </row>
    <row r="8" spans="2:16" x14ac:dyDescent="0.25">
      <c r="B8" s="195"/>
      <c r="C8" s="1180" t="s">
        <v>173</v>
      </c>
      <c r="D8" s="1156"/>
      <c r="E8" s="1156"/>
      <c r="F8" s="1156"/>
      <c r="G8" s="1156"/>
      <c r="H8" s="1181"/>
      <c r="I8" s="196"/>
      <c r="J8" s="197"/>
      <c r="K8" s="198"/>
      <c r="L8" s="5"/>
    </row>
    <row r="9" spans="2:16" x14ac:dyDescent="0.25">
      <c r="B9" s="195">
        <v>1</v>
      </c>
      <c r="C9" s="1149" t="s">
        <v>392</v>
      </c>
      <c r="D9" s="1150"/>
      <c r="E9" s="1150"/>
      <c r="F9" s="1150"/>
      <c r="G9" s="1150"/>
      <c r="H9" s="1151"/>
      <c r="I9" s="196"/>
      <c r="J9" s="197"/>
      <c r="K9" s="838">
        <v>8622885863</v>
      </c>
      <c r="L9" s="200"/>
      <c r="M9" s="201"/>
      <c r="N9" s="201"/>
      <c r="O9" s="201"/>
      <c r="P9" s="201"/>
    </row>
    <row r="10" spans="2:16" x14ac:dyDescent="0.25">
      <c r="B10" s="195">
        <v>2</v>
      </c>
      <c r="C10" s="1149" t="s">
        <v>174</v>
      </c>
      <c r="D10" s="1150"/>
      <c r="E10" s="1150"/>
      <c r="F10" s="1150"/>
      <c r="G10" s="1150"/>
      <c r="H10" s="1151"/>
      <c r="I10" s="1166">
        <v>4340124516</v>
      </c>
      <c r="J10" s="1167"/>
      <c r="K10" s="1188"/>
      <c r="L10" s="5"/>
    </row>
    <row r="11" spans="2:16" x14ac:dyDescent="0.25">
      <c r="B11" s="195">
        <v>3</v>
      </c>
      <c r="C11" s="202" t="s">
        <v>175</v>
      </c>
      <c r="D11" s="200"/>
      <c r="E11" s="200"/>
      <c r="F11" s="200"/>
      <c r="G11" s="200"/>
      <c r="H11" s="203"/>
      <c r="I11" s="204"/>
      <c r="J11" s="205"/>
      <c r="K11" s="199">
        <f>K9-I10</f>
        <v>4282761347</v>
      </c>
      <c r="L11" s="5"/>
    </row>
    <row r="12" spans="2:16" x14ac:dyDescent="0.25">
      <c r="B12" s="195">
        <v>3</v>
      </c>
      <c r="C12" s="1149" t="s">
        <v>176</v>
      </c>
      <c r="D12" s="1150"/>
      <c r="E12" s="1150"/>
      <c r="F12" s="1150"/>
      <c r="G12" s="1150"/>
      <c r="H12" s="1151"/>
      <c r="I12" s="1166">
        <f>K11*22.5%</f>
        <v>963621303.07500005</v>
      </c>
      <c r="J12" s="1167"/>
      <c r="K12" s="1188"/>
      <c r="L12" s="5"/>
    </row>
    <row r="13" spans="2:16" x14ac:dyDescent="0.25">
      <c r="B13" s="195">
        <v>4</v>
      </c>
      <c r="C13" s="1149" t="s">
        <v>177</v>
      </c>
      <c r="D13" s="1150"/>
      <c r="E13" s="1150"/>
      <c r="F13" s="1150"/>
      <c r="G13" s="1150"/>
      <c r="H13" s="1151"/>
      <c r="I13" s="1166">
        <f>I10*22.5%</f>
        <v>976528016.10000002</v>
      </c>
      <c r="J13" s="1167"/>
      <c r="K13" s="1188"/>
      <c r="L13" s="5"/>
    </row>
    <row r="14" spans="2:16" x14ac:dyDescent="0.25">
      <c r="B14" s="195">
        <v>5</v>
      </c>
      <c r="C14" s="1149" t="s">
        <v>398</v>
      </c>
      <c r="D14" s="1150"/>
      <c r="E14" s="1150"/>
      <c r="F14" s="1150"/>
      <c r="G14" s="1150"/>
      <c r="H14" s="1151"/>
      <c r="I14" s="1168"/>
      <c r="J14" s="1169"/>
      <c r="K14" s="1189"/>
      <c r="L14" s="5"/>
    </row>
    <row r="15" spans="2:16" x14ac:dyDescent="0.25">
      <c r="B15" s="195"/>
      <c r="C15" s="1149" t="s">
        <v>393</v>
      </c>
      <c r="D15" s="1150"/>
      <c r="E15" s="1150"/>
      <c r="F15" s="1150"/>
      <c r="G15" s="1150"/>
      <c r="H15" s="1151"/>
      <c r="I15" s="1166">
        <f>I12*60%</f>
        <v>578172781.84500003</v>
      </c>
      <c r="J15" s="1167"/>
      <c r="K15" s="1188"/>
      <c r="L15" s="5"/>
    </row>
    <row r="16" spans="2:16" ht="15.75" thickBot="1" x14ac:dyDescent="0.3">
      <c r="B16" s="195"/>
      <c r="C16" s="1149" t="s">
        <v>394</v>
      </c>
      <c r="D16" s="1150"/>
      <c r="E16" s="1150"/>
      <c r="F16" s="1150"/>
      <c r="G16" s="1150"/>
      <c r="H16" s="1151"/>
      <c r="I16" s="1166">
        <f>I12*30%</f>
        <v>289086390.92250001</v>
      </c>
      <c r="J16" s="1167"/>
      <c r="K16" s="1188"/>
      <c r="L16" s="5"/>
    </row>
    <row r="17" spans="2:12" ht="15.75" thickBot="1" x14ac:dyDescent="0.3">
      <c r="B17" s="195"/>
      <c r="C17" s="1190" t="s">
        <v>395</v>
      </c>
      <c r="D17" s="1191"/>
      <c r="E17" s="1191"/>
      <c r="F17" s="1191"/>
      <c r="G17" s="1191"/>
      <c r="H17" s="1192"/>
      <c r="I17" s="1193">
        <f>I12*10%</f>
        <v>96362130.307500005</v>
      </c>
      <c r="J17" s="1194"/>
      <c r="K17" s="1195"/>
      <c r="L17" s="5"/>
    </row>
    <row r="18" spans="2:12" ht="15.75" thickBot="1" x14ac:dyDescent="0.3">
      <c r="B18" s="195"/>
      <c r="C18" s="1149" t="s">
        <v>178</v>
      </c>
      <c r="D18" s="1150"/>
      <c r="E18" s="1150"/>
      <c r="F18" s="1150"/>
      <c r="G18" s="1150"/>
      <c r="H18" s="1151"/>
      <c r="I18" s="206">
        <f>SUM(I15:I17)</f>
        <v>963621303.07500005</v>
      </c>
      <c r="J18" s="207"/>
      <c r="K18" s="199">
        <f>SUM(I18)</f>
        <v>963621303.07500005</v>
      </c>
      <c r="L18" s="110"/>
    </row>
    <row r="19" spans="2:12" ht="15.75" thickBot="1" x14ac:dyDescent="0.3">
      <c r="B19" s="208">
        <v>6</v>
      </c>
      <c r="C19" s="1182" t="s">
        <v>396</v>
      </c>
      <c r="D19" s="1183"/>
      <c r="E19" s="1183"/>
      <c r="F19" s="1183"/>
      <c r="G19" s="1183"/>
      <c r="H19" s="1184"/>
      <c r="I19" s="1185">
        <f>I12+I13</f>
        <v>1940149319.1750002</v>
      </c>
      <c r="J19" s="1186"/>
      <c r="K19" s="1187"/>
      <c r="L19" s="5"/>
    </row>
    <row r="20" spans="2:12" x14ac:dyDescent="0.25">
      <c r="B20" s="517"/>
      <c r="C20" s="1147"/>
      <c r="D20" s="1147"/>
      <c r="E20" s="1147"/>
      <c r="F20" s="1147"/>
      <c r="G20" s="1147"/>
      <c r="H20" s="1147"/>
      <c r="I20" s="1199"/>
      <c r="J20" s="1200"/>
      <c r="K20" s="1201"/>
      <c r="L20" s="5"/>
    </row>
    <row r="21" spans="2:12" x14ac:dyDescent="0.25">
      <c r="B21" s="518"/>
      <c r="C21" s="1156" t="s">
        <v>179</v>
      </c>
      <c r="D21" s="1156"/>
      <c r="E21" s="1156"/>
      <c r="F21" s="1156"/>
      <c r="G21" s="1156"/>
      <c r="H21" s="1156"/>
      <c r="I21" s="1203"/>
      <c r="J21" s="1167"/>
      <c r="K21" s="1188"/>
      <c r="L21" s="5"/>
    </row>
    <row r="22" spans="2:12" x14ac:dyDescent="0.25">
      <c r="B22" s="518">
        <v>7</v>
      </c>
      <c r="C22" s="1150" t="s">
        <v>397</v>
      </c>
      <c r="D22" s="1150"/>
      <c r="E22" s="1150"/>
      <c r="F22" s="1150"/>
      <c r="G22" s="1150"/>
      <c r="H22" s="1150"/>
      <c r="I22" s="499"/>
      <c r="J22" s="500"/>
      <c r="K22" s="838">
        <v>605202694</v>
      </c>
      <c r="L22" s="5"/>
    </row>
    <row r="23" spans="2:12" x14ac:dyDescent="0.25">
      <c r="B23" s="518">
        <v>8</v>
      </c>
      <c r="C23" s="1150" t="s">
        <v>180</v>
      </c>
      <c r="D23" s="1150"/>
      <c r="E23" s="1150"/>
      <c r="F23" s="1150"/>
      <c r="G23" s="1150"/>
      <c r="H23" s="1150"/>
      <c r="I23" s="499"/>
      <c r="J23" s="500"/>
      <c r="K23" s="502">
        <v>432473544</v>
      </c>
      <c r="L23" s="5"/>
    </row>
    <row r="24" spans="2:12" x14ac:dyDescent="0.25">
      <c r="B24" s="518">
        <v>9</v>
      </c>
      <c r="C24" s="498" t="s">
        <v>399</v>
      </c>
      <c r="D24" s="498"/>
      <c r="E24" s="498"/>
      <c r="F24" s="498"/>
      <c r="G24" s="498"/>
      <c r="H24" s="498"/>
      <c r="I24" s="499"/>
      <c r="J24" s="500"/>
      <c r="K24" s="502">
        <f>K22-K23</f>
        <v>172729150</v>
      </c>
      <c r="L24" s="5"/>
    </row>
    <row r="25" spans="2:12" x14ac:dyDescent="0.25">
      <c r="B25" s="518">
        <v>10</v>
      </c>
      <c r="C25" s="1150" t="s">
        <v>181</v>
      </c>
      <c r="D25" s="1150"/>
      <c r="E25" s="1150"/>
      <c r="F25" s="1150"/>
      <c r="G25" s="1150"/>
      <c r="H25" s="1150"/>
      <c r="I25" s="499"/>
      <c r="J25" s="500"/>
      <c r="K25" s="502">
        <f>K24</f>
        <v>172729150</v>
      </c>
      <c r="L25" s="5"/>
    </row>
    <row r="26" spans="2:12" x14ac:dyDescent="0.25">
      <c r="B26" s="518"/>
      <c r="C26" s="1172" t="s">
        <v>400</v>
      </c>
      <c r="D26" s="1150"/>
      <c r="E26" s="1150"/>
      <c r="F26" s="1150"/>
      <c r="G26" s="1150"/>
      <c r="H26" s="1173"/>
      <c r="I26" s="514"/>
      <c r="J26" s="515"/>
      <c r="K26" s="502">
        <f>K25*70%</f>
        <v>120910404.99999999</v>
      </c>
      <c r="L26" s="5"/>
    </row>
    <row r="27" spans="2:12" x14ac:dyDescent="0.25">
      <c r="B27" s="518"/>
      <c r="C27" s="516">
        <v>0.5</v>
      </c>
      <c r="D27" s="498"/>
      <c r="E27" s="498"/>
      <c r="F27" s="498"/>
      <c r="G27" s="498"/>
      <c r="H27" s="501"/>
      <c r="I27" s="514"/>
      <c r="J27" s="515"/>
      <c r="K27" s="502">
        <f>K26*C27</f>
        <v>60455202.499999993</v>
      </c>
      <c r="L27" s="5"/>
    </row>
    <row r="28" spans="2:12" x14ac:dyDescent="0.25">
      <c r="B28" s="518"/>
      <c r="C28" s="516">
        <v>0.5</v>
      </c>
      <c r="D28" s="498"/>
      <c r="E28" s="498"/>
      <c r="F28" s="498"/>
      <c r="G28" s="498"/>
      <c r="H28" s="501"/>
      <c r="I28" s="514"/>
      <c r="J28" s="515"/>
      <c r="K28" s="502">
        <f>K26*C28</f>
        <v>60455202.499999993</v>
      </c>
      <c r="L28" s="5"/>
    </row>
    <row r="29" spans="2:12" x14ac:dyDescent="0.25">
      <c r="B29" s="518"/>
      <c r="C29" s="1172" t="s">
        <v>401</v>
      </c>
      <c r="D29" s="1150"/>
      <c r="E29" s="1150"/>
      <c r="F29" s="1150"/>
      <c r="G29" s="1150"/>
      <c r="H29" s="1173"/>
      <c r="I29" s="514"/>
      <c r="J29" s="515"/>
      <c r="K29" s="502">
        <f>K25*30%</f>
        <v>51818745</v>
      </c>
      <c r="L29" s="5"/>
    </row>
    <row r="30" spans="2:12" ht="15.75" thickBot="1" x14ac:dyDescent="0.3">
      <c r="B30" s="518"/>
      <c r="C30" s="1136" t="s">
        <v>294</v>
      </c>
      <c r="D30" s="1136"/>
      <c r="E30" s="1136"/>
      <c r="F30" s="1136"/>
      <c r="G30" s="1136"/>
      <c r="H30" s="1136"/>
      <c r="I30" s="519"/>
      <c r="J30" s="520"/>
      <c r="K30" s="521">
        <f>K26+K29</f>
        <v>172729150</v>
      </c>
      <c r="L30" s="5"/>
    </row>
    <row r="31" spans="2:12" ht="15.75" thickBot="1" x14ac:dyDescent="0.3">
      <c r="B31" s="522">
        <v>8</v>
      </c>
      <c r="C31" s="1202" t="s">
        <v>402</v>
      </c>
      <c r="D31" s="1202"/>
      <c r="E31" s="1202"/>
      <c r="F31" s="1202"/>
      <c r="G31" s="1202"/>
      <c r="H31" s="1202"/>
      <c r="I31" s="523"/>
      <c r="J31" s="524"/>
      <c r="K31" s="525">
        <f>K23+K24</f>
        <v>605202694</v>
      </c>
      <c r="L31" s="5"/>
    </row>
    <row r="32" spans="2:12" x14ac:dyDescent="0.25">
      <c r="B32" s="517"/>
      <c r="C32" s="526"/>
      <c r="D32" s="527"/>
      <c r="E32" s="527"/>
      <c r="F32" s="527"/>
      <c r="G32" s="527"/>
      <c r="H32" s="528"/>
      <c r="I32" s="529"/>
      <c r="J32" s="530"/>
      <c r="K32" s="531"/>
      <c r="L32" s="5"/>
    </row>
    <row r="33" spans="2:15" x14ac:dyDescent="0.25">
      <c r="B33" s="518"/>
      <c r="C33" s="1155" t="s">
        <v>182</v>
      </c>
      <c r="D33" s="1156"/>
      <c r="E33" s="1156"/>
      <c r="F33" s="1156"/>
      <c r="G33" s="1156"/>
      <c r="H33" s="1157"/>
      <c r="I33" s="499"/>
      <c r="J33" s="500"/>
      <c r="K33" s="839">
        <v>408537251</v>
      </c>
      <c r="L33" s="5"/>
    </row>
    <row r="34" spans="2:15" x14ac:dyDescent="0.25">
      <c r="B34" s="518">
        <v>9</v>
      </c>
      <c r="C34" s="1150" t="s">
        <v>403</v>
      </c>
      <c r="D34" s="1150"/>
      <c r="E34" s="1150"/>
      <c r="F34" s="1150"/>
      <c r="G34" s="1150"/>
      <c r="H34" s="1150"/>
      <c r="I34" s="499"/>
      <c r="J34" s="500"/>
      <c r="K34" s="502">
        <f>K33*22.5%</f>
        <v>91920881.475000009</v>
      </c>
      <c r="L34" s="110">
        <f>K34*22.5%</f>
        <v>20682198.331875004</v>
      </c>
    </row>
    <row r="35" spans="2:15" ht="15.75" thickBot="1" x14ac:dyDescent="0.3">
      <c r="B35" s="518">
        <v>10</v>
      </c>
      <c r="C35" s="1150" t="s">
        <v>183</v>
      </c>
      <c r="D35" s="1150"/>
      <c r="E35" s="1150"/>
      <c r="F35" s="1150"/>
      <c r="G35" s="1150"/>
      <c r="H35" s="1150"/>
      <c r="I35" s="499"/>
      <c r="J35" s="500"/>
      <c r="K35" s="502">
        <v>44079525</v>
      </c>
      <c r="L35" s="110">
        <f>K35*0.225</f>
        <v>9917893.125</v>
      </c>
      <c r="N35" s="496"/>
    </row>
    <row r="36" spans="2:15" ht="15.75" thickBot="1" x14ac:dyDescent="0.3">
      <c r="B36" s="532">
        <v>11</v>
      </c>
      <c r="C36" s="535" t="s">
        <v>404</v>
      </c>
      <c r="D36" s="536"/>
      <c r="E36" s="536"/>
      <c r="F36" s="536"/>
      <c r="G36" s="536"/>
      <c r="H36" s="537"/>
      <c r="I36" s="524"/>
      <c r="J36" s="524"/>
      <c r="K36" s="525">
        <f>K34-K35</f>
        <v>47841356.475000009</v>
      </c>
      <c r="L36" s="110">
        <f>K36*22.5%</f>
        <v>10764305.206875002</v>
      </c>
    </row>
    <row r="37" spans="2:15" x14ac:dyDescent="0.25">
      <c r="B37" s="517"/>
      <c r="C37" s="526"/>
      <c r="D37" s="527"/>
      <c r="E37" s="527"/>
      <c r="F37" s="527"/>
      <c r="G37" s="527"/>
      <c r="H37" s="528"/>
      <c r="I37" s="529"/>
      <c r="J37" s="530"/>
      <c r="K37" s="531"/>
      <c r="L37" s="5"/>
    </row>
    <row r="38" spans="2:15" x14ac:dyDescent="0.25">
      <c r="B38" s="518"/>
      <c r="C38" s="1155" t="s">
        <v>184</v>
      </c>
      <c r="D38" s="1156"/>
      <c r="E38" s="1156"/>
      <c r="F38" s="1156"/>
      <c r="G38" s="1156"/>
      <c r="H38" s="1157"/>
      <c r="I38" s="1196">
        <v>0</v>
      </c>
      <c r="J38" s="1197"/>
      <c r="K38" s="1198"/>
      <c r="L38" s="5"/>
    </row>
    <row r="39" spans="2:15" x14ac:dyDescent="0.25">
      <c r="B39" s="518">
        <v>12</v>
      </c>
      <c r="C39" s="1150" t="s">
        <v>405</v>
      </c>
      <c r="D39" s="1150"/>
      <c r="E39" s="1150"/>
      <c r="F39" s="1150"/>
      <c r="G39" s="1150"/>
      <c r="H39" s="1150"/>
      <c r="I39" s="507">
        <f>I38</f>
        <v>0</v>
      </c>
      <c r="J39" s="508"/>
      <c r="K39" s="538">
        <f>I39*22.5%</f>
        <v>0</v>
      </c>
      <c r="L39" s="110"/>
    </row>
    <row r="40" spans="2:15" ht="15.75" thickBot="1" x14ac:dyDescent="0.3">
      <c r="B40" s="518">
        <v>13</v>
      </c>
      <c r="C40" s="1150" t="s">
        <v>183</v>
      </c>
      <c r="D40" s="1150"/>
      <c r="E40" s="1150"/>
      <c r="F40" s="1150"/>
      <c r="G40" s="1150"/>
      <c r="H40" s="1150"/>
      <c r="I40" s="512">
        <v>337311000</v>
      </c>
      <c r="J40" s="500"/>
      <c r="K40" s="502">
        <v>0</v>
      </c>
      <c r="L40" s="110">
        <f>K40/22.5%</f>
        <v>0</v>
      </c>
      <c r="M40" s="104"/>
    </row>
    <row r="41" spans="2:15" ht="15.75" thickBot="1" x14ac:dyDescent="0.3">
      <c r="B41" s="532">
        <v>14</v>
      </c>
      <c r="C41" s="535" t="s">
        <v>406</v>
      </c>
      <c r="D41" s="536"/>
      <c r="E41" s="536"/>
      <c r="F41" s="536"/>
      <c r="G41" s="536"/>
      <c r="H41" s="537"/>
      <c r="I41" s="551">
        <f>I39-I40</f>
        <v>-337311000</v>
      </c>
      <c r="J41" s="524"/>
      <c r="K41" s="525">
        <f>K39-K40</f>
        <v>0</v>
      </c>
      <c r="L41" s="110"/>
      <c r="M41" s="104"/>
      <c r="O41" s="104">
        <v>10658090</v>
      </c>
    </row>
    <row r="42" spans="2:15" x14ac:dyDescent="0.25">
      <c r="B42" s="517"/>
      <c r="C42" s="540"/>
      <c r="D42" s="540"/>
      <c r="E42" s="540"/>
      <c r="F42" s="540"/>
      <c r="G42" s="540"/>
      <c r="H42" s="540"/>
      <c r="I42" s="529"/>
      <c r="J42" s="530"/>
      <c r="K42" s="531"/>
      <c r="L42" s="110"/>
      <c r="M42" s="104"/>
      <c r="O42" s="496">
        <v>0.22500000000000001</v>
      </c>
    </row>
    <row r="43" spans="2:15" x14ac:dyDescent="0.25">
      <c r="B43" s="518"/>
      <c r="C43" s="1155" t="s">
        <v>185</v>
      </c>
      <c r="D43" s="1156"/>
      <c r="E43" s="1156"/>
      <c r="F43" s="1156"/>
      <c r="G43" s="1156"/>
      <c r="H43" s="1157"/>
      <c r="I43" s="509"/>
      <c r="J43" s="510"/>
      <c r="K43" s="840">
        <v>941416071</v>
      </c>
      <c r="L43" s="5"/>
      <c r="O43" s="104">
        <f>O41*O42</f>
        <v>2398070.25</v>
      </c>
    </row>
    <row r="44" spans="2:15" x14ac:dyDescent="0.25">
      <c r="B44" s="518">
        <v>15</v>
      </c>
      <c r="C44" s="1150" t="s">
        <v>407</v>
      </c>
      <c r="D44" s="1150"/>
      <c r="E44" s="1150"/>
      <c r="F44" s="1150"/>
      <c r="G44" s="1150"/>
      <c r="H44" s="1150"/>
      <c r="I44" s="507"/>
      <c r="J44" s="508"/>
      <c r="K44" s="541">
        <f>K43*28%</f>
        <v>263596499.88000003</v>
      </c>
      <c r="L44" s="5"/>
    </row>
    <row r="45" spans="2:15" ht="15.75" thickBot="1" x14ac:dyDescent="0.3">
      <c r="B45" s="518">
        <v>16</v>
      </c>
      <c r="C45" s="1150" t="s">
        <v>186</v>
      </c>
      <c r="D45" s="1150"/>
      <c r="E45" s="1150"/>
      <c r="F45" s="1150"/>
      <c r="G45" s="1150"/>
      <c r="H45" s="1150"/>
      <c r="I45" s="499"/>
      <c r="J45" s="500"/>
      <c r="K45" s="502">
        <v>0</v>
      </c>
      <c r="L45" s="5"/>
    </row>
    <row r="46" spans="2:15" ht="15.75" thickBot="1" x14ac:dyDescent="0.3">
      <c r="B46" s="532">
        <v>17</v>
      </c>
      <c r="C46" s="535" t="s">
        <v>408</v>
      </c>
      <c r="D46" s="536"/>
      <c r="E46" s="536"/>
      <c r="F46" s="536"/>
      <c r="G46" s="536"/>
      <c r="H46" s="537"/>
      <c r="I46" s="523"/>
      <c r="J46" s="524"/>
      <c r="K46" s="525">
        <f>K44-K45</f>
        <v>263596499.88000003</v>
      </c>
      <c r="L46" s="5"/>
    </row>
    <row r="47" spans="2:15" x14ac:dyDescent="0.25">
      <c r="B47" s="517"/>
      <c r="C47" s="540"/>
      <c r="D47" s="540"/>
      <c r="E47" s="540"/>
      <c r="F47" s="540"/>
      <c r="G47" s="540"/>
      <c r="H47" s="540"/>
      <c r="I47" s="529"/>
      <c r="J47" s="530"/>
      <c r="K47" s="531"/>
      <c r="L47" s="5"/>
    </row>
    <row r="48" spans="2:15" x14ac:dyDescent="0.25">
      <c r="B48" s="518"/>
      <c r="C48" s="1155" t="s">
        <v>187</v>
      </c>
      <c r="D48" s="1156"/>
      <c r="E48" s="1156"/>
      <c r="F48" s="1156"/>
      <c r="G48" s="1156"/>
      <c r="H48" s="1157"/>
      <c r="I48" s="499"/>
      <c r="J48" s="500"/>
      <c r="K48" s="839">
        <v>159339202</v>
      </c>
      <c r="L48" s="5"/>
    </row>
    <row r="49" spans="2:15" x14ac:dyDescent="0.25">
      <c r="B49" s="518">
        <v>18</v>
      </c>
      <c r="C49" s="1150" t="s">
        <v>409</v>
      </c>
      <c r="D49" s="1150"/>
      <c r="E49" s="1150"/>
      <c r="F49" s="1150"/>
      <c r="G49" s="1150"/>
      <c r="H49" s="1150"/>
      <c r="I49" s="499"/>
      <c r="J49" s="500"/>
      <c r="K49" s="502">
        <f>K48*22.5%</f>
        <v>35851320.450000003</v>
      </c>
      <c r="L49" s="110">
        <f>K49*0.225</f>
        <v>8066547.1012500012</v>
      </c>
    </row>
    <row r="50" spans="2:15" ht="15.75" thickBot="1" x14ac:dyDescent="0.3">
      <c r="B50" s="518">
        <v>19</v>
      </c>
      <c r="C50" s="1150" t="s">
        <v>188</v>
      </c>
      <c r="D50" s="1150"/>
      <c r="E50" s="1150"/>
      <c r="F50" s="1150"/>
      <c r="G50" s="1150"/>
      <c r="H50" s="1150"/>
      <c r="I50" s="499"/>
      <c r="J50" s="500"/>
      <c r="K50" s="502">
        <v>20610000</v>
      </c>
      <c r="L50" s="110">
        <f>K50*0.225</f>
        <v>4637250</v>
      </c>
    </row>
    <row r="51" spans="2:15" ht="15.75" thickBot="1" x14ac:dyDescent="0.3">
      <c r="B51" s="532">
        <v>20</v>
      </c>
      <c r="C51" s="535" t="s">
        <v>410</v>
      </c>
      <c r="D51" s="536"/>
      <c r="E51" s="536"/>
      <c r="F51" s="536"/>
      <c r="G51" s="536"/>
      <c r="H51" s="537"/>
      <c r="I51" s="523"/>
      <c r="J51" s="524"/>
      <c r="K51" s="525">
        <f>K49-K50</f>
        <v>15241320.450000003</v>
      </c>
      <c r="L51" s="110">
        <f>K51*0.225</f>
        <v>3429297.1012500008</v>
      </c>
    </row>
    <row r="52" spans="2:15" x14ac:dyDescent="0.25">
      <c r="B52" s="542"/>
      <c r="C52" s="526"/>
      <c r="D52" s="527"/>
      <c r="E52" s="527"/>
      <c r="F52" s="527"/>
      <c r="G52" s="527"/>
      <c r="H52" s="528"/>
      <c r="I52" s="529"/>
      <c r="J52" s="530"/>
      <c r="K52" s="531"/>
      <c r="L52" s="110"/>
    </row>
    <row r="53" spans="2:15" x14ac:dyDescent="0.25">
      <c r="B53" s="547"/>
      <c r="C53" s="1155" t="s">
        <v>189</v>
      </c>
      <c r="D53" s="1156"/>
      <c r="E53" s="1156"/>
      <c r="F53" s="1156"/>
      <c r="G53" s="1156"/>
      <c r="H53" s="1157"/>
      <c r="I53" s="499"/>
      <c r="J53" s="500"/>
      <c r="K53" s="841">
        <v>324422257</v>
      </c>
      <c r="L53" s="5"/>
    </row>
    <row r="54" spans="2:15" x14ac:dyDescent="0.25">
      <c r="B54" s="547">
        <v>21</v>
      </c>
      <c r="C54" s="1172" t="s">
        <v>411</v>
      </c>
      <c r="D54" s="1150"/>
      <c r="E54" s="1150"/>
      <c r="F54" s="1150"/>
      <c r="G54" s="1150"/>
      <c r="H54" s="1173"/>
      <c r="I54" s="499"/>
      <c r="J54" s="500"/>
      <c r="K54" s="502">
        <f>K53*22.5%</f>
        <v>72995007.825000003</v>
      </c>
      <c r="L54" s="110">
        <f>K54*0.225</f>
        <v>16423876.760625001</v>
      </c>
    </row>
    <row r="55" spans="2:15" ht="15.75" thickBot="1" x14ac:dyDescent="0.3">
      <c r="B55" s="547">
        <v>22</v>
      </c>
      <c r="C55" s="1170" t="s">
        <v>188</v>
      </c>
      <c r="D55" s="1136"/>
      <c r="E55" s="1136"/>
      <c r="F55" s="1136"/>
      <c r="G55" s="1136"/>
      <c r="H55" s="1171"/>
      <c r="I55" s="499"/>
      <c r="J55" s="500"/>
      <c r="K55" s="502">
        <v>0</v>
      </c>
      <c r="L55" s="110">
        <f>K55*0.225</f>
        <v>0</v>
      </c>
    </row>
    <row r="56" spans="2:15" ht="15.75" thickBot="1" x14ac:dyDescent="0.3">
      <c r="B56" s="522">
        <v>23</v>
      </c>
      <c r="C56" s="503" t="s">
        <v>412</v>
      </c>
      <c r="D56" s="504"/>
      <c r="E56" s="504"/>
      <c r="F56" s="504"/>
      <c r="G56" s="504"/>
      <c r="H56" s="505"/>
      <c r="I56" s="539"/>
      <c r="J56" s="533"/>
      <c r="K56" s="534">
        <f>K54-K55</f>
        <v>72995007.825000003</v>
      </c>
      <c r="L56" s="110">
        <f>K56*0.225</f>
        <v>16423876.760625001</v>
      </c>
    </row>
    <row r="57" spans="2:15" x14ac:dyDescent="0.25">
      <c r="B57" s="548"/>
      <c r="C57" s="543"/>
      <c r="D57" s="540"/>
      <c r="E57" s="540"/>
      <c r="F57" s="540"/>
      <c r="G57" s="540"/>
      <c r="H57" s="544"/>
      <c r="I57" s="529"/>
      <c r="J57" s="530"/>
      <c r="K57" s="531"/>
      <c r="L57" s="5"/>
      <c r="O57" s="209"/>
    </row>
    <row r="58" spans="2:15" x14ac:dyDescent="0.25">
      <c r="B58" s="545"/>
      <c r="C58" s="1155" t="s">
        <v>190</v>
      </c>
      <c r="D58" s="1156"/>
      <c r="E58" s="1156"/>
      <c r="F58" s="1156"/>
      <c r="G58" s="1156"/>
      <c r="H58" s="1157"/>
      <c r="I58" s="499"/>
      <c r="J58" s="500"/>
      <c r="K58" s="839">
        <v>68060519</v>
      </c>
      <c r="L58" s="110"/>
      <c r="O58" s="137"/>
    </row>
    <row r="59" spans="2:15" x14ac:dyDescent="0.25">
      <c r="B59" s="545">
        <v>24</v>
      </c>
      <c r="C59" s="1172" t="s">
        <v>413</v>
      </c>
      <c r="D59" s="1150"/>
      <c r="E59" s="1150"/>
      <c r="F59" s="1150"/>
      <c r="G59" s="1150"/>
      <c r="H59" s="1173"/>
      <c r="I59" s="499"/>
      <c r="J59" s="500"/>
      <c r="K59" s="502">
        <f>K58*22.5%</f>
        <v>15313616.775</v>
      </c>
      <c r="L59" s="110">
        <f>K59*0.225</f>
        <v>3445563.774375</v>
      </c>
      <c r="O59" s="210"/>
    </row>
    <row r="60" spans="2:15" ht="15.75" thickBot="1" x14ac:dyDescent="0.3">
      <c r="B60" s="545">
        <v>25</v>
      </c>
      <c r="C60" s="1170"/>
      <c r="D60" s="1136"/>
      <c r="E60" s="1136"/>
      <c r="F60" s="1136"/>
      <c r="G60" s="1136"/>
      <c r="H60" s="1171"/>
      <c r="I60" s="499"/>
      <c r="J60" s="500"/>
      <c r="K60" s="502"/>
      <c r="L60" s="110">
        <f>K60*0.225</f>
        <v>0</v>
      </c>
    </row>
    <row r="61" spans="2:15" ht="15.75" thickBot="1" x14ac:dyDescent="0.3">
      <c r="B61" s="532">
        <v>26</v>
      </c>
      <c r="C61" s="535" t="s">
        <v>414</v>
      </c>
      <c r="D61" s="536"/>
      <c r="E61" s="536"/>
      <c r="F61" s="536"/>
      <c r="G61" s="536"/>
      <c r="H61" s="537"/>
      <c r="I61" s="523"/>
      <c r="J61" s="524"/>
      <c r="K61" s="525">
        <f>K59-K60</f>
        <v>15313616.775</v>
      </c>
      <c r="L61" s="110">
        <f>K61*0.225</f>
        <v>3445563.774375</v>
      </c>
    </row>
    <row r="62" spans="2:15" x14ac:dyDescent="0.25">
      <c r="B62" s="517"/>
      <c r="C62" s="543"/>
      <c r="D62" s="540"/>
      <c r="E62" s="540"/>
      <c r="F62" s="540"/>
      <c r="G62" s="540"/>
      <c r="H62" s="544"/>
      <c r="I62" s="529"/>
      <c r="J62" s="530"/>
      <c r="K62" s="531"/>
      <c r="L62" s="110"/>
    </row>
    <row r="63" spans="2:15" x14ac:dyDescent="0.25">
      <c r="B63" s="518"/>
      <c r="C63" s="1155" t="s">
        <v>191</v>
      </c>
      <c r="D63" s="1156"/>
      <c r="E63" s="1156"/>
      <c r="F63" s="1156"/>
      <c r="G63" s="1156"/>
      <c r="H63" s="1157"/>
      <c r="I63" s="499"/>
      <c r="J63" s="500"/>
      <c r="K63" s="839">
        <v>13229412</v>
      </c>
      <c r="L63" s="110"/>
    </row>
    <row r="64" spans="2:15" x14ac:dyDescent="0.25">
      <c r="B64" s="518">
        <v>27</v>
      </c>
      <c r="C64" s="1158" t="s">
        <v>415</v>
      </c>
      <c r="D64" s="1158"/>
      <c r="E64" s="1158"/>
      <c r="F64" s="1158"/>
      <c r="G64" s="1158"/>
      <c r="H64" s="1158"/>
      <c r="I64" s="499"/>
      <c r="J64" s="500"/>
      <c r="K64" s="502">
        <f>K63*22.5%</f>
        <v>2976617.7</v>
      </c>
      <c r="L64" s="110">
        <f>K64*0.225</f>
        <v>669738.98250000004</v>
      </c>
    </row>
    <row r="65" spans="2:12" ht="15.75" thickBot="1" x14ac:dyDescent="0.3">
      <c r="B65" s="518">
        <v>28</v>
      </c>
      <c r="C65" s="1150"/>
      <c r="D65" s="1150"/>
      <c r="E65" s="1150"/>
      <c r="F65" s="1150"/>
      <c r="G65" s="1150"/>
      <c r="H65" s="1150"/>
      <c r="I65" s="499"/>
      <c r="J65" s="500"/>
      <c r="K65" s="502"/>
      <c r="L65" s="5"/>
    </row>
    <row r="66" spans="2:12" ht="15.75" thickBot="1" x14ac:dyDescent="0.3">
      <c r="B66" s="532">
        <v>29</v>
      </c>
      <c r="C66" s="503"/>
      <c r="D66" s="504"/>
      <c r="E66" s="504"/>
      <c r="F66" s="504"/>
      <c r="G66" s="504"/>
      <c r="H66" s="505"/>
      <c r="I66" s="539"/>
      <c r="J66" s="533"/>
      <c r="K66" s="506">
        <f>K64-K65</f>
        <v>2976617.7</v>
      </c>
      <c r="L66" s="5"/>
    </row>
    <row r="67" spans="2:12" ht="15.75" thickBot="1" x14ac:dyDescent="0.3">
      <c r="B67" s="546"/>
      <c r="C67" s="1159" t="s">
        <v>65</v>
      </c>
      <c r="D67" s="1160"/>
      <c r="E67" s="1160"/>
      <c r="F67" s="1160"/>
      <c r="G67" s="1160"/>
      <c r="H67" s="1161"/>
      <c r="I67" s="1162"/>
      <c r="J67" s="1163"/>
      <c r="K67" s="1164"/>
      <c r="L67" s="5"/>
    </row>
    <row r="68" spans="2:12" ht="15.75" thickBot="1" x14ac:dyDescent="0.3">
      <c r="B68" s="1144" t="s">
        <v>190</v>
      </c>
      <c r="C68" s="1145"/>
      <c r="D68" s="1145"/>
      <c r="E68" s="1145"/>
      <c r="F68" s="1145"/>
      <c r="G68" s="1145"/>
      <c r="H68" s="1145"/>
      <c r="I68" s="1145"/>
      <c r="J68" s="1145"/>
      <c r="K68" s="1145"/>
      <c r="L68" s="5"/>
    </row>
    <row r="69" spans="2:12" ht="15.75" thickBot="1" x14ac:dyDescent="0.3">
      <c r="B69" s="195">
        <v>1</v>
      </c>
      <c r="C69" s="1146" t="s">
        <v>431</v>
      </c>
      <c r="D69" s="1147"/>
      <c r="E69" s="1147"/>
      <c r="F69" s="1147"/>
      <c r="G69" s="1147"/>
      <c r="H69" s="1148"/>
      <c r="I69" s="196"/>
      <c r="J69" s="197"/>
      <c r="K69" s="909">
        <f>K58</f>
        <v>68060519</v>
      </c>
      <c r="L69" s="5"/>
    </row>
    <row r="70" spans="2:12" ht="15.75" thickBot="1" x14ac:dyDescent="0.3">
      <c r="B70" s="195">
        <v>2</v>
      </c>
      <c r="C70" s="1149" t="s">
        <v>432</v>
      </c>
      <c r="D70" s="1150"/>
      <c r="E70" s="1150"/>
      <c r="F70" s="1150"/>
      <c r="G70" s="1150"/>
      <c r="H70" s="1151"/>
      <c r="I70" s="784"/>
      <c r="J70" s="508"/>
      <c r="K70" s="910">
        <f>K69*22.5%</f>
        <v>15313616.775</v>
      </c>
      <c r="L70" s="5"/>
    </row>
    <row r="71" spans="2:12" ht="15.75" thickBot="1" x14ac:dyDescent="0.3">
      <c r="B71" s="195"/>
      <c r="C71" s="901"/>
      <c r="D71" s="900"/>
      <c r="E71" s="900"/>
      <c r="F71" s="900"/>
      <c r="G71" s="900"/>
      <c r="H71" s="902"/>
      <c r="I71" s="904"/>
      <c r="J71" s="905"/>
      <c r="K71" s="903"/>
      <c r="L71" s="5"/>
    </row>
    <row r="72" spans="2:12" x14ac:dyDescent="0.25">
      <c r="B72" s="545"/>
      <c r="C72" s="1131" t="s">
        <v>433</v>
      </c>
      <c r="D72" s="1132"/>
      <c r="E72" s="1132"/>
      <c r="F72" s="1132"/>
      <c r="G72" s="1132"/>
      <c r="H72" s="1132"/>
      <c r="I72" s="1133">
        <f>K70*60%</f>
        <v>9188170.0649999995</v>
      </c>
      <c r="J72" s="1133"/>
      <c r="K72" s="1134"/>
      <c r="L72" s="5"/>
    </row>
    <row r="73" spans="2:12" x14ac:dyDescent="0.25">
      <c r="B73" s="545"/>
      <c r="C73" s="1127" t="s">
        <v>434</v>
      </c>
      <c r="D73" s="1128"/>
      <c r="E73" s="1128"/>
      <c r="F73" s="1128"/>
      <c r="G73" s="1128"/>
      <c r="H73" s="1128"/>
      <c r="I73" s="1129">
        <f>K70*30%</f>
        <v>4594085.0324999997</v>
      </c>
      <c r="J73" s="1129"/>
      <c r="K73" s="1130"/>
      <c r="L73" s="5"/>
    </row>
    <row r="74" spans="2:12" x14ac:dyDescent="0.25">
      <c r="B74" s="545"/>
      <c r="C74" s="1127" t="s">
        <v>435</v>
      </c>
      <c r="D74" s="1128"/>
      <c r="E74" s="1128"/>
      <c r="F74" s="1128"/>
      <c r="G74" s="1128"/>
      <c r="H74" s="1128"/>
      <c r="I74" s="1129">
        <f>K70*10%</f>
        <v>1531361.6775000002</v>
      </c>
      <c r="J74" s="1129"/>
      <c r="K74" s="1130"/>
      <c r="L74" s="5"/>
    </row>
    <row r="75" spans="2:12" x14ac:dyDescent="0.25">
      <c r="B75" s="545"/>
      <c r="C75" s="1127"/>
      <c r="D75" s="1128"/>
      <c r="E75" s="1128"/>
      <c r="F75" s="1128"/>
      <c r="G75" s="1128"/>
      <c r="H75" s="1128"/>
      <c r="I75" s="911"/>
      <c r="J75" s="912"/>
      <c r="K75" s="913"/>
      <c r="L75" s="5"/>
    </row>
    <row r="76" spans="2:12" ht="15.75" thickBot="1" x14ac:dyDescent="0.3">
      <c r="B76" s="532">
        <v>4</v>
      </c>
      <c r="C76" s="1140" t="s">
        <v>438</v>
      </c>
      <c r="D76" s="1141"/>
      <c r="E76" s="1141"/>
      <c r="F76" s="1141"/>
      <c r="G76" s="1141"/>
      <c r="H76" s="1141"/>
      <c r="I76" s="1142">
        <f>SUM(I72:K74)</f>
        <v>15313616.775</v>
      </c>
      <c r="J76" s="1142"/>
      <c r="K76" s="1143"/>
      <c r="L76" s="5"/>
    </row>
    <row r="77" spans="2:12" ht="15.75" thickBot="1" x14ac:dyDescent="0.3">
      <c r="B77" s="1144" t="s">
        <v>191</v>
      </c>
      <c r="C77" s="1145"/>
      <c r="D77" s="1145"/>
      <c r="E77" s="1145"/>
      <c r="F77" s="1145"/>
      <c r="G77" s="1145"/>
      <c r="H77" s="1145"/>
      <c r="I77" s="1145"/>
      <c r="J77" s="1145"/>
      <c r="K77" s="1145"/>
      <c r="L77" s="5"/>
    </row>
    <row r="78" spans="2:12" ht="15.75" thickBot="1" x14ac:dyDescent="0.3">
      <c r="B78" s="195">
        <v>1</v>
      </c>
      <c r="C78" s="1146" t="s">
        <v>439</v>
      </c>
      <c r="D78" s="1147"/>
      <c r="E78" s="1147"/>
      <c r="F78" s="1147"/>
      <c r="G78" s="1147"/>
      <c r="H78" s="1148"/>
      <c r="I78" s="196"/>
      <c r="J78" s="197"/>
      <c r="K78" s="909">
        <f>K63</f>
        <v>13229412</v>
      </c>
      <c r="L78" s="5"/>
    </row>
    <row r="79" spans="2:12" ht="15.75" thickBot="1" x14ac:dyDescent="0.3">
      <c r="B79" s="195">
        <v>2</v>
      </c>
      <c r="C79" s="1149" t="s">
        <v>440</v>
      </c>
      <c r="D79" s="1150"/>
      <c r="E79" s="1150"/>
      <c r="F79" s="1150"/>
      <c r="G79" s="1150"/>
      <c r="H79" s="1151"/>
      <c r="I79" s="784"/>
      <c r="J79" s="508"/>
      <c r="K79" s="910">
        <f>K78*22.5%</f>
        <v>2976617.7</v>
      </c>
      <c r="L79" s="5"/>
    </row>
    <row r="80" spans="2:12" ht="15.75" thickBot="1" x14ac:dyDescent="0.3">
      <c r="B80" s="195"/>
      <c r="C80" s="1135"/>
      <c r="D80" s="1136"/>
      <c r="E80" s="1136"/>
      <c r="F80" s="1136"/>
      <c r="G80" s="1136"/>
      <c r="H80" s="1137"/>
      <c r="I80" s="1138"/>
      <c r="J80" s="1139"/>
      <c r="K80" s="1139"/>
      <c r="L80" s="5"/>
    </row>
    <row r="81" spans="2:13" x14ac:dyDescent="0.25">
      <c r="B81" s="545"/>
      <c r="C81" s="1118" t="s">
        <v>433</v>
      </c>
      <c r="D81" s="1119"/>
      <c r="E81" s="1119"/>
      <c r="F81" s="1119"/>
      <c r="G81" s="1119"/>
      <c r="H81" s="1120"/>
      <c r="I81" s="1121">
        <f>K79*60%</f>
        <v>1785970.62</v>
      </c>
      <c r="J81" s="1122"/>
      <c r="K81" s="1123"/>
      <c r="L81" s="5"/>
    </row>
    <row r="82" spans="2:13" x14ac:dyDescent="0.25">
      <c r="B82" s="545"/>
      <c r="C82" s="1109" t="s">
        <v>434</v>
      </c>
      <c r="D82" s="1110"/>
      <c r="E82" s="1110"/>
      <c r="F82" s="1110"/>
      <c r="G82" s="1110"/>
      <c r="H82" s="1111"/>
      <c r="I82" s="1124">
        <f>K79*30%</f>
        <v>892985.31</v>
      </c>
      <c r="J82" s="1125"/>
      <c r="K82" s="1126"/>
      <c r="L82" s="5"/>
    </row>
    <row r="83" spans="2:13" x14ac:dyDescent="0.25">
      <c r="B83" s="545"/>
      <c r="C83" s="1109" t="s">
        <v>437</v>
      </c>
      <c r="D83" s="1110"/>
      <c r="E83" s="1110"/>
      <c r="F83" s="1110"/>
      <c r="G83" s="1110"/>
      <c r="H83" s="1111"/>
      <c r="I83" s="1124">
        <f>K79*10%</f>
        <v>297661.77</v>
      </c>
      <c r="J83" s="1125"/>
      <c r="K83" s="1126"/>
      <c r="L83" s="5"/>
    </row>
    <row r="84" spans="2:13" x14ac:dyDescent="0.25">
      <c r="B84" s="545"/>
      <c r="C84" s="1109"/>
      <c r="D84" s="1110"/>
      <c r="E84" s="1110"/>
      <c r="F84" s="1110"/>
      <c r="G84" s="1110"/>
      <c r="H84" s="1111"/>
      <c r="I84" s="911"/>
      <c r="J84" s="912"/>
      <c r="K84" s="913"/>
      <c r="L84" s="5"/>
    </row>
    <row r="85" spans="2:13" ht="15.75" thickBot="1" x14ac:dyDescent="0.3">
      <c r="B85" s="532">
        <v>4</v>
      </c>
      <c r="C85" s="1112" t="s">
        <v>436</v>
      </c>
      <c r="D85" s="1113"/>
      <c r="E85" s="1113"/>
      <c r="F85" s="1113"/>
      <c r="G85" s="1113"/>
      <c r="H85" s="1114"/>
      <c r="I85" s="1115">
        <f>SUM(I81:K83)</f>
        <v>2976617.7</v>
      </c>
      <c r="J85" s="1116"/>
      <c r="K85" s="1117"/>
      <c r="L85" s="5"/>
    </row>
    <row r="86" spans="2:13" ht="15.75" thickBot="1" x14ac:dyDescent="0.3">
      <c r="B86" s="1144" t="s">
        <v>383</v>
      </c>
      <c r="C86" s="1145"/>
      <c r="D86" s="1145"/>
      <c r="E86" s="1145"/>
      <c r="F86" s="1145"/>
      <c r="G86" s="1145"/>
      <c r="H86" s="1145"/>
      <c r="I86" s="1145"/>
      <c r="J86" s="1145"/>
      <c r="K86" s="1145"/>
      <c r="L86" s="5"/>
    </row>
    <row r="87" spans="2:13" x14ac:dyDescent="0.25">
      <c r="B87" s="195">
        <v>1</v>
      </c>
      <c r="C87" s="1149" t="s">
        <v>416</v>
      </c>
      <c r="D87" s="1150"/>
      <c r="E87" s="1150"/>
      <c r="F87" s="1150"/>
      <c r="G87" s="1150"/>
      <c r="H87" s="1151"/>
      <c r="I87" s="196"/>
      <c r="J87" s="197"/>
      <c r="K87" s="842">
        <v>35000000</v>
      </c>
      <c r="L87" s="5"/>
      <c r="M87" s="181"/>
    </row>
    <row r="88" spans="2:13" x14ac:dyDescent="0.25">
      <c r="B88" s="195">
        <v>2</v>
      </c>
      <c r="C88" s="1149" t="s">
        <v>429</v>
      </c>
      <c r="D88" s="1150"/>
      <c r="E88" s="1150"/>
      <c r="F88" s="1150"/>
      <c r="G88" s="1150"/>
      <c r="H88" s="1151"/>
      <c r="I88" s="784"/>
      <c r="J88" s="508"/>
      <c r="K88" s="785">
        <v>0</v>
      </c>
      <c r="L88" s="5"/>
      <c r="M88" s="104"/>
    </row>
    <row r="89" spans="2:13" x14ac:dyDescent="0.25">
      <c r="B89" s="195">
        <v>3</v>
      </c>
      <c r="C89" s="728" t="s">
        <v>175</v>
      </c>
      <c r="D89" s="729"/>
      <c r="E89" s="729"/>
      <c r="F89" s="729"/>
      <c r="G89" s="729"/>
      <c r="H89" s="730"/>
      <c r="I89" s="733"/>
      <c r="J89" s="734"/>
      <c r="K89" s="731">
        <f>K87-K88</f>
        <v>35000000</v>
      </c>
      <c r="L89" s="5"/>
    </row>
    <row r="90" spans="2:13" x14ac:dyDescent="0.25">
      <c r="B90" s="195">
        <v>4</v>
      </c>
      <c r="C90" s="1149" t="s">
        <v>176</v>
      </c>
      <c r="D90" s="1150"/>
      <c r="E90" s="1150"/>
      <c r="F90" s="1150"/>
      <c r="G90" s="1150"/>
      <c r="H90" s="1151"/>
      <c r="I90" s="1166">
        <f>K89*20%</f>
        <v>7000000</v>
      </c>
      <c r="J90" s="1167"/>
      <c r="K90" s="1167"/>
      <c r="L90" s="5"/>
      <c r="M90" s="104"/>
    </row>
    <row r="91" spans="2:13" x14ac:dyDescent="0.25">
      <c r="B91" s="195">
        <v>5</v>
      </c>
      <c r="C91" s="1149" t="s">
        <v>177</v>
      </c>
      <c r="D91" s="1150"/>
      <c r="E91" s="1150"/>
      <c r="F91" s="1150"/>
      <c r="G91" s="1150"/>
      <c r="H91" s="1151"/>
      <c r="I91" s="1166">
        <f>K88*22.5%</f>
        <v>0</v>
      </c>
      <c r="J91" s="1167"/>
      <c r="K91" s="1167"/>
      <c r="L91" s="5"/>
    </row>
    <row r="92" spans="2:13" ht="15.75" thickBot="1" x14ac:dyDescent="0.3">
      <c r="B92" s="195">
        <v>6</v>
      </c>
      <c r="C92" s="1149" t="s">
        <v>398</v>
      </c>
      <c r="D92" s="1150"/>
      <c r="E92" s="1150"/>
      <c r="F92" s="1150"/>
      <c r="G92" s="1150"/>
      <c r="H92" s="1151"/>
      <c r="I92" s="1168"/>
      <c r="J92" s="1169"/>
      <c r="K92" s="1169"/>
      <c r="L92" s="5"/>
    </row>
    <row r="93" spans="2:13" x14ac:dyDescent="0.25">
      <c r="B93" s="545"/>
      <c r="C93" s="1131" t="s">
        <v>417</v>
      </c>
      <c r="D93" s="1132"/>
      <c r="E93" s="1132"/>
      <c r="F93" s="1132"/>
      <c r="G93" s="1132"/>
      <c r="H93" s="1132"/>
      <c r="I93" s="1133">
        <f>K89*60%</f>
        <v>21000000</v>
      </c>
      <c r="J93" s="1133"/>
      <c r="K93" s="1134"/>
      <c r="L93" s="5"/>
    </row>
    <row r="94" spans="2:13" x14ac:dyDescent="0.25">
      <c r="B94" s="545"/>
      <c r="C94" s="1127" t="s">
        <v>418</v>
      </c>
      <c r="D94" s="1128"/>
      <c r="E94" s="1128"/>
      <c r="F94" s="1128"/>
      <c r="G94" s="1128"/>
      <c r="H94" s="1128"/>
      <c r="I94" s="1129">
        <f>K89*30%</f>
        <v>10500000</v>
      </c>
      <c r="J94" s="1129"/>
      <c r="K94" s="1130"/>
      <c r="L94" s="5"/>
    </row>
    <row r="95" spans="2:13" x14ac:dyDescent="0.25">
      <c r="B95" s="545"/>
      <c r="C95" s="1127" t="s">
        <v>419</v>
      </c>
      <c r="D95" s="1128"/>
      <c r="E95" s="1128"/>
      <c r="F95" s="1128"/>
      <c r="G95" s="1128"/>
      <c r="H95" s="1128"/>
      <c r="I95" s="1129">
        <f>K89*10%</f>
        <v>3500000</v>
      </c>
      <c r="J95" s="1129"/>
      <c r="K95" s="1130"/>
      <c r="L95" s="5"/>
    </row>
    <row r="96" spans="2:13" x14ac:dyDescent="0.25">
      <c r="B96" s="545"/>
      <c r="C96" s="1127" t="s">
        <v>364</v>
      </c>
      <c r="D96" s="1128"/>
      <c r="E96" s="1128"/>
      <c r="F96" s="1128"/>
      <c r="G96" s="1128"/>
      <c r="H96" s="1128"/>
      <c r="I96" s="786">
        <f>SUM(I93:I95)</f>
        <v>35000000</v>
      </c>
      <c r="J96" s="786"/>
      <c r="K96" s="787">
        <f>SUM(I96)</f>
        <v>35000000</v>
      </c>
      <c r="L96" s="5"/>
    </row>
    <row r="97" spans="2:21" ht="15.75" thickBot="1" x14ac:dyDescent="0.3">
      <c r="B97" s="532">
        <v>6</v>
      </c>
      <c r="C97" s="1140" t="s">
        <v>396</v>
      </c>
      <c r="D97" s="1141"/>
      <c r="E97" s="1141"/>
      <c r="F97" s="1141"/>
      <c r="G97" s="1141"/>
      <c r="H97" s="1141"/>
      <c r="I97" s="1142">
        <f>K89+I91</f>
        <v>35000000</v>
      </c>
      <c r="J97" s="1142"/>
      <c r="K97" s="1143"/>
      <c r="L97" s="5"/>
    </row>
    <row r="98" spans="2:21" x14ac:dyDescent="0.25">
      <c r="B98" s="84"/>
      <c r="C98" s="732"/>
      <c r="D98" s="732"/>
      <c r="E98" s="732"/>
      <c r="F98" s="732"/>
      <c r="G98" s="732"/>
      <c r="H98" s="732"/>
      <c r="I98" s="783"/>
      <c r="J98" s="783"/>
      <c r="K98" s="783"/>
      <c r="L98" s="5"/>
    </row>
    <row r="99" spans="2:21" x14ac:dyDescent="0.25">
      <c r="B99" s="84"/>
      <c r="C99" s="732"/>
      <c r="D99" s="732"/>
      <c r="E99" s="732"/>
      <c r="F99" s="732"/>
      <c r="G99" s="732"/>
      <c r="H99" s="732"/>
      <c r="I99" s="783"/>
      <c r="J99" s="783"/>
      <c r="K99" s="783"/>
      <c r="L99" s="5"/>
    </row>
    <row r="100" spans="2:21" x14ac:dyDescent="0.25">
      <c r="B100" s="84"/>
      <c r="C100" s="732"/>
      <c r="D100" s="732"/>
      <c r="E100" s="732"/>
      <c r="F100" s="732"/>
      <c r="G100" s="732"/>
      <c r="H100" s="732"/>
      <c r="I100" s="783"/>
      <c r="J100" s="783"/>
      <c r="K100" s="783"/>
      <c r="L100" s="5"/>
    </row>
    <row r="101" spans="2:21" x14ac:dyDescent="0.25">
      <c r="B101" s="84"/>
      <c r="C101" s="732"/>
      <c r="D101" s="732"/>
      <c r="E101" s="732"/>
      <c r="F101" s="732"/>
      <c r="G101" s="732"/>
      <c r="H101" s="732"/>
      <c r="I101" s="783"/>
      <c r="J101" s="783"/>
      <c r="K101" s="783"/>
      <c r="L101" s="5"/>
    </row>
    <row r="102" spans="2:21" x14ac:dyDescent="0.25">
      <c r="B102" s="84"/>
      <c r="C102" s="732"/>
      <c r="D102" s="732"/>
      <c r="E102" s="732"/>
      <c r="F102" s="732"/>
      <c r="G102" s="732"/>
      <c r="H102" s="732"/>
      <c r="I102" s="783"/>
      <c r="J102" s="783"/>
      <c r="K102" s="783"/>
      <c r="L102" s="5"/>
    </row>
    <row r="103" spans="2:21" x14ac:dyDescent="0.25">
      <c r="C103" s="82"/>
      <c r="D103" s="82"/>
      <c r="E103" s="82"/>
      <c r="F103" s="82"/>
      <c r="G103" s="82"/>
      <c r="H103" s="82"/>
      <c r="I103" s="83"/>
      <c r="J103" s="83"/>
      <c r="K103" s="5"/>
      <c r="L103" s="5"/>
    </row>
    <row r="104" spans="2:21" ht="15" customHeight="1" x14ac:dyDescent="0.25">
      <c r="C104" s="82" t="s">
        <v>354</v>
      </c>
      <c r="D104" s="82"/>
      <c r="E104" s="82"/>
      <c r="F104" s="82"/>
      <c r="G104" s="82"/>
      <c r="H104" s="82"/>
      <c r="I104" s="83"/>
      <c r="J104" s="83"/>
      <c r="K104" s="5"/>
      <c r="L104" s="5"/>
    </row>
    <row r="105" spans="2:21" ht="9.6" customHeight="1" x14ac:dyDescent="0.25"/>
    <row r="106" spans="2:21" ht="18" customHeight="1" x14ac:dyDescent="0.25"/>
    <row r="107" spans="2:21" ht="15" customHeight="1" x14ac:dyDescent="0.25">
      <c r="C107" s="1165" t="s">
        <v>13</v>
      </c>
      <c r="D107" s="1152">
        <v>2010</v>
      </c>
      <c r="E107" s="1153"/>
      <c r="F107" s="1154"/>
      <c r="G107" s="1152">
        <v>2011</v>
      </c>
      <c r="H107" s="1153"/>
      <c r="I107" s="1154"/>
      <c r="J107" s="211"/>
      <c r="K107" s="1152">
        <v>2017</v>
      </c>
      <c r="L107" s="1153"/>
      <c r="M107" s="1154"/>
      <c r="N107" s="1152">
        <v>2018</v>
      </c>
      <c r="O107" s="1153"/>
      <c r="P107" s="1154"/>
      <c r="Q107" s="57"/>
      <c r="R107" s="1005" t="s">
        <v>193</v>
      </c>
      <c r="S107" s="57"/>
    </row>
    <row r="108" spans="2:21" ht="15" customHeight="1" x14ac:dyDescent="0.25">
      <c r="C108" s="1165"/>
      <c r="D108" s="183" t="s">
        <v>163</v>
      </c>
      <c r="E108" s="183" t="s">
        <v>164</v>
      </c>
      <c r="F108" s="183" t="s">
        <v>165</v>
      </c>
      <c r="G108" s="183" t="s">
        <v>163</v>
      </c>
      <c r="H108" s="183" t="s">
        <v>164</v>
      </c>
      <c r="I108" s="183" t="s">
        <v>165</v>
      </c>
      <c r="J108" s="183"/>
      <c r="K108" s="183" t="s">
        <v>163</v>
      </c>
      <c r="L108" s="183" t="s">
        <v>164</v>
      </c>
      <c r="M108" s="212" t="s">
        <v>165</v>
      </c>
      <c r="N108" s="183" t="s">
        <v>163</v>
      </c>
      <c r="O108" s="183" t="s">
        <v>164</v>
      </c>
      <c r="P108" s="212" t="s">
        <v>165</v>
      </c>
      <c r="Q108" s="57"/>
      <c r="R108" s="1005"/>
      <c r="S108" s="57"/>
    </row>
    <row r="109" spans="2:21" ht="15" customHeight="1" x14ac:dyDescent="0.25">
      <c r="C109" s="511" t="s">
        <v>143</v>
      </c>
      <c r="D109" s="32">
        <v>1682502</v>
      </c>
      <c r="E109" s="213">
        <v>4238017</v>
      </c>
      <c r="F109" s="214">
        <f t="shared" ref="F109:F129" si="0">D109+E109</f>
        <v>5920519</v>
      </c>
      <c r="G109" s="32">
        <v>1970081.77</v>
      </c>
      <c r="H109" s="32">
        <v>4430528</v>
      </c>
      <c r="I109" s="214">
        <f t="shared" ref="I109:I129" si="1">G109+H109</f>
        <v>6400609.7699999996</v>
      </c>
      <c r="J109" s="215">
        <f>I109/F109</f>
        <v>1.0810893048396601</v>
      </c>
      <c r="K109" s="32">
        <v>4600138</v>
      </c>
      <c r="L109" s="32">
        <v>6164575</v>
      </c>
      <c r="M109" s="32">
        <f>SUM(K109:L109)</f>
        <v>10764713</v>
      </c>
      <c r="N109" s="32">
        <v>3847011</v>
      </c>
      <c r="O109" s="32">
        <v>7359180</v>
      </c>
      <c r="P109" s="214">
        <f>SUM(N109:O109)</f>
        <v>11206191</v>
      </c>
      <c r="R109" s="103">
        <f>P109/M109</f>
        <v>1.0410115903693855</v>
      </c>
      <c r="S109" s="216"/>
      <c r="T109" s="103"/>
      <c r="U109" s="104"/>
    </row>
    <row r="110" spans="2:21" ht="15" customHeight="1" x14ac:dyDescent="0.25">
      <c r="C110" s="511" t="s">
        <v>144</v>
      </c>
      <c r="D110" s="32">
        <v>1426148</v>
      </c>
      <c r="E110" s="213">
        <v>1269045.2039224801</v>
      </c>
      <c r="F110" s="214">
        <f>D110+E110</f>
        <v>2695193.2039224803</v>
      </c>
      <c r="G110" s="32">
        <v>1509150</v>
      </c>
      <c r="H110" s="32">
        <v>1369030</v>
      </c>
      <c r="I110" s="214">
        <f>G110+H110</f>
        <v>2878180</v>
      </c>
      <c r="J110" s="215">
        <f t="shared" ref="J110:J128" si="2">I110/F110</f>
        <v>1.0678937583440058</v>
      </c>
      <c r="K110" s="32">
        <v>1868560</v>
      </c>
      <c r="L110" s="32">
        <v>4098808</v>
      </c>
      <c r="M110" s="32">
        <f t="shared" ref="M110:M128" si="3">SUM(K110:L110)</f>
        <v>5967368</v>
      </c>
      <c r="N110" s="32">
        <v>2203748</v>
      </c>
      <c r="O110" s="32">
        <v>4292333</v>
      </c>
      <c r="P110" s="214">
        <f>N110+O110</f>
        <v>6496081</v>
      </c>
      <c r="R110" s="103">
        <f t="shared" ref="R110:R128" si="4">P110/M110</f>
        <v>1.0886007030235105</v>
      </c>
      <c r="S110" s="216"/>
      <c r="T110" s="103"/>
      <c r="U110" s="104"/>
    </row>
    <row r="111" spans="2:21" ht="15" customHeight="1" x14ac:dyDescent="0.25">
      <c r="C111" s="511" t="s">
        <v>145</v>
      </c>
      <c r="D111" s="32">
        <v>2556102</v>
      </c>
      <c r="E111" s="213">
        <v>1591529</v>
      </c>
      <c r="F111" s="214">
        <f t="shared" si="0"/>
        <v>4147631</v>
      </c>
      <c r="G111" s="32">
        <v>1516908</v>
      </c>
      <c r="H111" s="32">
        <v>1406499</v>
      </c>
      <c r="I111" s="214">
        <f t="shared" si="1"/>
        <v>2923407</v>
      </c>
      <c r="J111" s="215">
        <f t="shared" si="2"/>
        <v>0.70483777365922862</v>
      </c>
      <c r="K111" s="32">
        <v>272482</v>
      </c>
      <c r="L111" s="32">
        <v>801471</v>
      </c>
      <c r="M111" s="32">
        <f t="shared" si="3"/>
        <v>1073953</v>
      </c>
      <c r="N111" s="32">
        <v>2211427</v>
      </c>
      <c r="O111" s="32">
        <v>1095526</v>
      </c>
      <c r="P111" s="214">
        <f t="shared" ref="P111:P128" si="5">N111+O111</f>
        <v>3306953</v>
      </c>
      <c r="R111" s="103">
        <f t="shared" si="4"/>
        <v>3.0792343799030313</v>
      </c>
      <c r="S111" s="216"/>
      <c r="T111" s="103"/>
      <c r="U111" s="104"/>
    </row>
    <row r="112" spans="2:21" ht="15" customHeight="1" x14ac:dyDescent="0.25">
      <c r="C112" s="511" t="s">
        <v>146</v>
      </c>
      <c r="D112" s="32">
        <v>78746014</v>
      </c>
      <c r="E112" s="213">
        <v>45839494.140000001</v>
      </c>
      <c r="F112" s="214">
        <f>D112+E112</f>
        <v>124585508.14</v>
      </c>
      <c r="G112" s="32">
        <v>78848903</v>
      </c>
      <c r="H112" s="32">
        <v>64656269</v>
      </c>
      <c r="I112" s="214">
        <f>G112+H112</f>
        <v>143505172</v>
      </c>
      <c r="J112" s="215">
        <f t="shared" si="2"/>
        <v>1.1518608716411822</v>
      </c>
      <c r="K112" s="32">
        <v>154339475</v>
      </c>
      <c r="L112" s="32">
        <v>114466230</v>
      </c>
      <c r="M112" s="32">
        <f t="shared" si="3"/>
        <v>268805705</v>
      </c>
      <c r="N112" s="32">
        <v>170774917</v>
      </c>
      <c r="O112" s="32">
        <v>122745095</v>
      </c>
      <c r="P112" s="214">
        <f>N112+O112</f>
        <v>293520012</v>
      </c>
      <c r="R112" s="103">
        <f t="shared" si="4"/>
        <v>1.0919411550435658</v>
      </c>
      <c r="S112" s="216"/>
      <c r="T112" s="103"/>
      <c r="U112" s="104"/>
    </row>
    <row r="113" spans="3:21" ht="15" customHeight="1" x14ac:dyDescent="0.25">
      <c r="C113" s="511" t="s">
        <v>147</v>
      </c>
      <c r="D113" s="32">
        <v>10223733</v>
      </c>
      <c r="E113" s="213">
        <v>19002626</v>
      </c>
      <c r="F113" s="214">
        <f t="shared" si="0"/>
        <v>29226359</v>
      </c>
      <c r="G113" s="32">
        <v>11239004</v>
      </c>
      <c r="H113" s="32">
        <v>19033512</v>
      </c>
      <c r="I113" s="214">
        <f t="shared" si="1"/>
        <v>30272516</v>
      </c>
      <c r="J113" s="215">
        <f t="shared" si="2"/>
        <v>1.0357949821939845</v>
      </c>
      <c r="K113" s="32">
        <v>15872814</v>
      </c>
      <c r="L113" s="32">
        <v>9610927</v>
      </c>
      <c r="M113" s="32">
        <f t="shared" si="3"/>
        <v>25483741</v>
      </c>
      <c r="N113" s="32">
        <v>15746604</v>
      </c>
      <c r="O113" s="32">
        <v>10379876</v>
      </c>
      <c r="P113" s="214">
        <f t="shared" si="5"/>
        <v>26126480</v>
      </c>
      <c r="R113" s="103">
        <f t="shared" si="4"/>
        <v>1.0252215324272838</v>
      </c>
      <c r="S113" s="216"/>
      <c r="T113" s="103"/>
      <c r="U113" s="104"/>
    </row>
    <row r="114" spans="3:21" ht="15" customHeight="1" x14ac:dyDescent="0.25">
      <c r="C114" s="511" t="s">
        <v>148</v>
      </c>
      <c r="D114" s="32">
        <v>15115</v>
      </c>
      <c r="E114" s="213">
        <v>747024.60800000001</v>
      </c>
      <c r="F114" s="214">
        <f>D114+E114</f>
        <v>762139.60800000001</v>
      </c>
      <c r="G114" s="32">
        <v>15047.65</v>
      </c>
      <c r="H114" s="32">
        <v>46822</v>
      </c>
      <c r="I114" s="214">
        <f>G114+H114</f>
        <v>61869.65</v>
      </c>
      <c r="J114" s="215">
        <f t="shared" si="2"/>
        <v>8.1178893408200878E-2</v>
      </c>
      <c r="K114" s="32">
        <v>23315</v>
      </c>
      <c r="L114" s="32">
        <v>123172</v>
      </c>
      <c r="M114" s="32">
        <f t="shared" si="3"/>
        <v>146487</v>
      </c>
      <c r="N114" s="32">
        <v>33467</v>
      </c>
      <c r="O114" s="32">
        <v>82331</v>
      </c>
      <c r="P114" s="214">
        <f>N114+O114</f>
        <v>115798</v>
      </c>
      <c r="R114" s="103">
        <f t="shared" si="4"/>
        <v>0.79050018090342489</v>
      </c>
      <c r="S114" s="216"/>
      <c r="T114" s="103"/>
      <c r="U114" s="104"/>
    </row>
    <row r="115" spans="3:21" ht="15" customHeight="1" x14ac:dyDescent="0.25">
      <c r="C115" s="511" t="s">
        <v>149</v>
      </c>
      <c r="D115" s="32">
        <v>39804</v>
      </c>
      <c r="E115" s="213">
        <v>70181</v>
      </c>
      <c r="F115" s="214">
        <f>D115+E115</f>
        <v>109985</v>
      </c>
      <c r="G115" s="32">
        <v>11353.99</v>
      </c>
      <c r="H115" s="32">
        <v>108200</v>
      </c>
      <c r="I115" s="214">
        <f>G115+H115</f>
        <v>119553.99</v>
      </c>
      <c r="J115" s="215">
        <f t="shared" si="2"/>
        <v>1.0870026821839343</v>
      </c>
      <c r="K115" s="32">
        <v>10148</v>
      </c>
      <c r="L115" s="32">
        <v>27360</v>
      </c>
      <c r="M115" s="32">
        <f t="shared" si="3"/>
        <v>37508</v>
      </c>
      <c r="N115" s="32">
        <v>13603</v>
      </c>
      <c r="O115" s="32">
        <v>78610</v>
      </c>
      <c r="P115" s="214">
        <f>N115+O115</f>
        <v>92213</v>
      </c>
      <c r="R115" s="103">
        <f t="shared" si="4"/>
        <v>2.4584888557107818</v>
      </c>
      <c r="S115" s="216"/>
      <c r="T115" s="103"/>
      <c r="U115" s="104"/>
    </row>
    <row r="116" spans="3:21" ht="15" customHeight="1" x14ac:dyDescent="0.25">
      <c r="C116" s="511" t="s">
        <v>150</v>
      </c>
      <c r="D116" s="32">
        <v>3802609</v>
      </c>
      <c r="E116" s="213">
        <v>3607111</v>
      </c>
      <c r="F116" s="214">
        <f t="shared" si="0"/>
        <v>7409720</v>
      </c>
      <c r="G116" s="32">
        <v>5015719</v>
      </c>
      <c r="H116" s="32">
        <v>3584924</v>
      </c>
      <c r="I116" s="214">
        <f t="shared" si="1"/>
        <v>8600643</v>
      </c>
      <c r="J116" s="215">
        <f t="shared" si="2"/>
        <v>1.1607244268339425</v>
      </c>
      <c r="K116" s="32">
        <v>9995787</v>
      </c>
      <c r="L116" s="32">
        <v>2921966</v>
      </c>
      <c r="M116" s="32">
        <f t="shared" si="3"/>
        <v>12917753</v>
      </c>
      <c r="N116" s="32">
        <v>5696258</v>
      </c>
      <c r="O116" s="32">
        <v>5984263</v>
      </c>
      <c r="P116" s="214">
        <f t="shared" si="5"/>
        <v>11680521</v>
      </c>
      <c r="R116" s="103">
        <f t="shared" si="4"/>
        <v>0.90422235198335188</v>
      </c>
      <c r="S116" s="216"/>
      <c r="T116" s="103"/>
      <c r="U116" s="104"/>
    </row>
    <row r="117" spans="3:21" ht="15" customHeight="1" x14ac:dyDescent="0.25">
      <c r="C117" s="511" t="s">
        <v>151</v>
      </c>
      <c r="D117" s="32">
        <v>679452.26649999991</v>
      </c>
      <c r="E117" s="213">
        <v>979732.52173799998</v>
      </c>
      <c r="F117" s="214">
        <f t="shared" si="0"/>
        <v>1659184.7882379999</v>
      </c>
      <c r="G117" s="32">
        <v>709042</v>
      </c>
      <c r="H117" s="32">
        <v>1116169</v>
      </c>
      <c r="I117" s="214">
        <f t="shared" si="1"/>
        <v>1825211</v>
      </c>
      <c r="J117" s="215">
        <f t="shared" si="2"/>
        <v>1.1000649312475403</v>
      </c>
      <c r="K117" s="32">
        <v>1515005</v>
      </c>
      <c r="L117" s="32">
        <v>1085491</v>
      </c>
      <c r="M117" s="32">
        <f t="shared" si="3"/>
        <v>2600496</v>
      </c>
      <c r="N117" s="32">
        <v>2229122</v>
      </c>
      <c r="O117" s="32">
        <v>1191698</v>
      </c>
      <c r="P117" s="214">
        <f t="shared" si="5"/>
        <v>3420820</v>
      </c>
      <c r="R117" s="103">
        <f t="shared" si="4"/>
        <v>1.315449052796082</v>
      </c>
      <c r="S117" s="216"/>
      <c r="T117" s="103"/>
      <c r="U117" s="104"/>
    </row>
    <row r="118" spans="3:21" ht="15" customHeight="1" x14ac:dyDescent="0.25">
      <c r="C118" s="511" t="s">
        <v>152</v>
      </c>
      <c r="D118" s="32">
        <v>490919.83199999999</v>
      </c>
      <c r="E118" s="213">
        <v>305440</v>
      </c>
      <c r="F118" s="214">
        <f>D118+E118</f>
        <v>796359.83199999994</v>
      </c>
      <c r="G118" s="32">
        <v>501773</v>
      </c>
      <c r="H118" s="32">
        <v>254381</v>
      </c>
      <c r="I118" s="214">
        <f>G118+H118</f>
        <v>756154</v>
      </c>
      <c r="J118" s="215">
        <f t="shared" si="2"/>
        <v>0.94951298347252655</v>
      </c>
      <c r="K118" s="32">
        <v>2011785</v>
      </c>
      <c r="L118" s="32">
        <v>188489</v>
      </c>
      <c r="M118" s="32">
        <f t="shared" si="3"/>
        <v>2200274</v>
      </c>
      <c r="N118" s="32">
        <v>2096161</v>
      </c>
      <c r="O118" s="32">
        <v>270627</v>
      </c>
      <c r="P118" s="214">
        <f>N118+O118</f>
        <v>2366788</v>
      </c>
      <c r="R118" s="103">
        <f t="shared" si="4"/>
        <v>1.0756787563730699</v>
      </c>
      <c r="S118" s="216"/>
      <c r="T118" s="103"/>
      <c r="U118" s="104"/>
    </row>
    <row r="119" spans="3:21" ht="15" customHeight="1" x14ac:dyDescent="0.25">
      <c r="C119" s="511" t="s">
        <v>153</v>
      </c>
      <c r="D119" s="32">
        <v>751355</v>
      </c>
      <c r="E119" s="213">
        <v>540322</v>
      </c>
      <c r="F119" s="214">
        <f t="shared" si="0"/>
        <v>1291677</v>
      </c>
      <c r="G119" s="32">
        <v>833122.71</v>
      </c>
      <c r="H119" s="32">
        <v>449768</v>
      </c>
      <c r="I119" s="214">
        <f t="shared" si="1"/>
        <v>1282890.71</v>
      </c>
      <c r="J119" s="215">
        <f t="shared" si="2"/>
        <v>0.99319776538561877</v>
      </c>
      <c r="K119" s="32">
        <v>1207189</v>
      </c>
      <c r="L119" s="32">
        <v>552064</v>
      </c>
      <c r="M119" s="32">
        <f t="shared" si="3"/>
        <v>1759253</v>
      </c>
      <c r="N119" s="32">
        <v>1480024</v>
      </c>
      <c r="O119" s="32">
        <v>857904</v>
      </c>
      <c r="P119" s="214">
        <f t="shared" si="5"/>
        <v>2337928</v>
      </c>
      <c r="R119" s="103">
        <f t="shared" si="4"/>
        <v>1.3289322229378038</v>
      </c>
      <c r="S119" s="216"/>
      <c r="T119" s="103"/>
      <c r="U119" s="104"/>
    </row>
    <row r="120" spans="3:21" ht="15" customHeight="1" x14ac:dyDescent="0.25">
      <c r="C120" s="511" t="s">
        <v>154</v>
      </c>
      <c r="D120" s="32">
        <v>359295</v>
      </c>
      <c r="E120" s="213">
        <v>1815345</v>
      </c>
      <c r="F120" s="214">
        <f t="shared" si="0"/>
        <v>2174640</v>
      </c>
      <c r="G120" s="32">
        <v>355184</v>
      </c>
      <c r="H120" s="32">
        <v>1292100</v>
      </c>
      <c r="I120" s="214">
        <f t="shared" si="1"/>
        <v>1647284</v>
      </c>
      <c r="J120" s="215">
        <f t="shared" si="2"/>
        <v>0.75749733289188093</v>
      </c>
      <c r="K120" s="32">
        <v>443946</v>
      </c>
      <c r="L120" s="32">
        <v>2361354</v>
      </c>
      <c r="M120" s="32">
        <f t="shared" si="3"/>
        <v>2805300</v>
      </c>
      <c r="N120" s="32">
        <v>532672</v>
      </c>
      <c r="O120" s="32">
        <v>2161785</v>
      </c>
      <c r="P120" s="214">
        <f t="shared" si="5"/>
        <v>2694457</v>
      </c>
      <c r="R120" s="103">
        <f t="shared" si="4"/>
        <v>0.96048800484796637</v>
      </c>
      <c r="S120" s="216"/>
      <c r="T120" s="103"/>
      <c r="U120" s="104"/>
    </row>
    <row r="121" spans="3:21" ht="15" customHeight="1" x14ac:dyDescent="0.25">
      <c r="C121" s="511" t="s">
        <v>155</v>
      </c>
      <c r="D121" s="32">
        <v>1867043</v>
      </c>
      <c r="E121" s="213">
        <v>2195979</v>
      </c>
      <c r="F121" s="214">
        <f t="shared" si="0"/>
        <v>4063022</v>
      </c>
      <c r="G121" s="32">
        <v>1773965</v>
      </c>
      <c r="H121" s="32">
        <v>1766959</v>
      </c>
      <c r="I121" s="214">
        <f t="shared" si="1"/>
        <v>3540924</v>
      </c>
      <c r="J121" s="215">
        <f t="shared" si="2"/>
        <v>0.87150008048196637</v>
      </c>
      <c r="K121" s="32">
        <v>4722861</v>
      </c>
      <c r="L121" s="32">
        <v>1595892</v>
      </c>
      <c r="M121" s="32">
        <f t="shared" si="3"/>
        <v>6318753</v>
      </c>
      <c r="N121" s="32">
        <v>4431219</v>
      </c>
      <c r="O121" s="32">
        <v>2234250</v>
      </c>
      <c r="P121" s="214">
        <f t="shared" si="5"/>
        <v>6665469</v>
      </c>
      <c r="R121" s="103">
        <f t="shared" si="4"/>
        <v>1.0548709531769955</v>
      </c>
      <c r="S121" s="216"/>
      <c r="T121" s="103"/>
      <c r="U121" s="104"/>
    </row>
    <row r="122" spans="3:21" ht="15" customHeight="1" x14ac:dyDescent="0.25">
      <c r="C122" s="511" t="s">
        <v>156</v>
      </c>
      <c r="D122" s="32">
        <v>587111</v>
      </c>
      <c r="E122" s="213">
        <v>404106.06761000003</v>
      </c>
      <c r="F122" s="214">
        <f>D122+E122</f>
        <v>991217.06761000003</v>
      </c>
      <c r="G122" s="32">
        <v>627237.49</v>
      </c>
      <c r="H122" s="32">
        <v>442866</v>
      </c>
      <c r="I122" s="214">
        <f>G122+H122</f>
        <v>1070103.49</v>
      </c>
      <c r="J122" s="215">
        <f t="shared" si="2"/>
        <v>1.079585415715459</v>
      </c>
      <c r="K122" s="32">
        <v>878681</v>
      </c>
      <c r="L122" s="32">
        <v>1097834</v>
      </c>
      <c r="M122" s="32">
        <f t="shared" si="3"/>
        <v>1976515</v>
      </c>
      <c r="N122" s="32">
        <v>1074974</v>
      </c>
      <c r="O122" s="32">
        <v>746412</v>
      </c>
      <c r="P122" s="214">
        <f>N122+O122</f>
        <v>1821386</v>
      </c>
      <c r="R122" s="103">
        <f t="shared" si="4"/>
        <v>0.92151387669711593</v>
      </c>
      <c r="S122" s="216"/>
      <c r="T122" s="103"/>
      <c r="U122" s="104"/>
    </row>
    <row r="123" spans="3:21" ht="15" customHeight="1" x14ac:dyDescent="0.25">
      <c r="C123" s="511" t="s">
        <v>157</v>
      </c>
      <c r="D123" s="32">
        <v>1034790</v>
      </c>
      <c r="E123" s="213">
        <v>1930723.26</v>
      </c>
      <c r="F123" s="214">
        <f t="shared" si="0"/>
        <v>2965513.26</v>
      </c>
      <c r="G123" s="32">
        <v>1086831.6499999999</v>
      </c>
      <c r="H123" s="32">
        <v>967094</v>
      </c>
      <c r="I123" s="214">
        <f t="shared" si="1"/>
        <v>2053925.65</v>
      </c>
      <c r="J123" s="215">
        <f t="shared" si="2"/>
        <v>0.69260376532593892</v>
      </c>
      <c r="K123" s="32">
        <v>2361650</v>
      </c>
      <c r="L123" s="32">
        <v>2335873</v>
      </c>
      <c r="M123" s="32">
        <f t="shared" si="3"/>
        <v>4697523</v>
      </c>
      <c r="N123" s="32">
        <v>2058103</v>
      </c>
      <c r="O123" s="32">
        <v>2519056</v>
      </c>
      <c r="P123" s="214">
        <f t="shared" si="5"/>
        <v>4577159</v>
      </c>
      <c r="R123" s="103">
        <f t="shared" si="4"/>
        <v>0.97437713450258789</v>
      </c>
      <c r="S123" s="216"/>
      <c r="T123" s="103"/>
      <c r="U123" s="104"/>
    </row>
    <row r="124" spans="3:21" ht="15" customHeight="1" x14ac:dyDescent="0.25">
      <c r="C124" s="511" t="s">
        <v>158</v>
      </c>
      <c r="D124" s="32">
        <v>3445369.4415000002</v>
      </c>
      <c r="E124" s="213">
        <v>7876143</v>
      </c>
      <c r="F124" s="214">
        <f t="shared" si="0"/>
        <v>11321512.441500001</v>
      </c>
      <c r="G124" s="32">
        <v>3855604</v>
      </c>
      <c r="H124" s="32">
        <v>8804594</v>
      </c>
      <c r="I124" s="214">
        <f t="shared" si="1"/>
        <v>12660198</v>
      </c>
      <c r="J124" s="215">
        <f t="shared" si="2"/>
        <v>1.1182426434115755</v>
      </c>
      <c r="K124" s="32">
        <v>4200863</v>
      </c>
      <c r="L124" s="32">
        <v>11809025</v>
      </c>
      <c r="M124" s="32">
        <f t="shared" si="3"/>
        <v>16009888</v>
      </c>
      <c r="N124" s="32">
        <v>4902160</v>
      </c>
      <c r="O124" s="32">
        <v>11312920</v>
      </c>
      <c r="P124" s="214">
        <f t="shared" si="5"/>
        <v>16215080</v>
      </c>
      <c r="R124" s="103">
        <f t="shared" si="4"/>
        <v>1.0128165793539592</v>
      </c>
      <c r="S124" s="216"/>
      <c r="T124" s="103"/>
      <c r="U124" s="104"/>
    </row>
    <row r="125" spans="3:21" ht="15" customHeight="1" x14ac:dyDescent="0.25">
      <c r="C125" s="511" t="s">
        <v>159</v>
      </c>
      <c r="D125" s="32">
        <v>1263023</v>
      </c>
      <c r="E125" s="213">
        <v>1192004</v>
      </c>
      <c r="F125" s="214">
        <f t="shared" si="0"/>
        <v>2455027</v>
      </c>
      <c r="G125" s="32">
        <v>1110492</v>
      </c>
      <c r="H125" s="32">
        <v>1122164</v>
      </c>
      <c r="I125" s="214">
        <f t="shared" si="1"/>
        <v>2232656</v>
      </c>
      <c r="J125" s="215">
        <f t="shared" si="2"/>
        <v>0.90942217743430109</v>
      </c>
      <c r="K125" s="32">
        <v>2916876</v>
      </c>
      <c r="L125" s="32">
        <v>1649032</v>
      </c>
      <c r="M125" s="32">
        <f t="shared" si="3"/>
        <v>4565908</v>
      </c>
      <c r="N125" s="32">
        <v>2588653</v>
      </c>
      <c r="O125" s="32">
        <v>1751273</v>
      </c>
      <c r="P125" s="214">
        <f t="shared" si="5"/>
        <v>4339926</v>
      </c>
      <c r="R125" s="103">
        <f t="shared" si="4"/>
        <v>0.95050666811508244</v>
      </c>
      <c r="S125" s="216"/>
      <c r="T125" s="103"/>
      <c r="U125" s="104"/>
    </row>
    <row r="126" spans="3:21" ht="15" customHeight="1" x14ac:dyDescent="0.25">
      <c r="C126" s="511" t="s">
        <v>160</v>
      </c>
      <c r="D126" s="32">
        <v>38607672.27335</v>
      </c>
      <c r="E126" s="213">
        <v>102423063.05140001</v>
      </c>
      <c r="F126" s="214">
        <f>D126+E126</f>
        <v>141030735.32475001</v>
      </c>
      <c r="G126" s="32">
        <v>38794615</v>
      </c>
      <c r="H126" s="32">
        <v>103320484</v>
      </c>
      <c r="I126" s="214">
        <f>G126+H126</f>
        <v>142115099</v>
      </c>
      <c r="J126" s="215">
        <f t="shared" si="2"/>
        <v>1.0076888464968508</v>
      </c>
      <c r="K126" s="32">
        <v>54817026</v>
      </c>
      <c r="L126" s="32">
        <v>285002518</v>
      </c>
      <c r="M126" s="32">
        <f t="shared" si="3"/>
        <v>339819544</v>
      </c>
      <c r="N126" s="497">
        <v>68254405</v>
      </c>
      <c r="O126" s="32">
        <v>181485941</v>
      </c>
      <c r="P126" s="214">
        <f>N126+O126</f>
        <v>249740346</v>
      </c>
      <c r="R126" s="103">
        <f t="shared" si="4"/>
        <v>0.73492049062369413</v>
      </c>
      <c r="S126" s="216"/>
      <c r="T126" s="103"/>
      <c r="U126" s="104"/>
    </row>
    <row r="127" spans="3:21" ht="15" customHeight="1" x14ac:dyDescent="0.25">
      <c r="C127" s="511" t="s">
        <v>161</v>
      </c>
      <c r="D127" s="32">
        <v>1053724</v>
      </c>
      <c r="E127" s="213">
        <v>1760700</v>
      </c>
      <c r="F127" s="214">
        <f t="shared" si="0"/>
        <v>2814424</v>
      </c>
      <c r="G127" s="32">
        <v>974443</v>
      </c>
      <c r="H127" s="32">
        <v>1955033</v>
      </c>
      <c r="I127" s="214">
        <f t="shared" si="1"/>
        <v>2929476</v>
      </c>
      <c r="J127" s="215">
        <f t="shared" si="2"/>
        <v>1.0408794126258161</v>
      </c>
      <c r="K127" s="32">
        <v>824105</v>
      </c>
      <c r="L127" s="32">
        <v>1076489</v>
      </c>
      <c r="M127" s="32">
        <f t="shared" si="3"/>
        <v>1900594</v>
      </c>
      <c r="N127" s="32">
        <v>1341794</v>
      </c>
      <c r="O127" s="32">
        <v>1265479</v>
      </c>
      <c r="P127" s="214">
        <f t="shared" si="5"/>
        <v>2607273</v>
      </c>
      <c r="R127" s="103">
        <f t="shared" si="4"/>
        <v>1.3718200730929384</v>
      </c>
      <c r="S127" s="216"/>
      <c r="T127" s="103"/>
      <c r="U127" s="104"/>
    </row>
    <row r="128" spans="3:21" ht="15" customHeight="1" x14ac:dyDescent="0.25">
      <c r="C128" s="511" t="s">
        <v>162</v>
      </c>
      <c r="D128" s="32">
        <v>4668675</v>
      </c>
      <c r="E128" s="213">
        <v>9408641</v>
      </c>
      <c r="F128" s="214">
        <f t="shared" si="0"/>
        <v>14077316</v>
      </c>
      <c r="G128" s="32">
        <v>5684224</v>
      </c>
      <c r="H128" s="32">
        <v>11342255</v>
      </c>
      <c r="I128" s="214">
        <f t="shared" si="1"/>
        <v>17026479</v>
      </c>
      <c r="J128" s="215">
        <f t="shared" si="2"/>
        <v>1.2094975348994084</v>
      </c>
      <c r="K128" s="32">
        <v>8125909</v>
      </c>
      <c r="L128" s="32">
        <v>17789868</v>
      </c>
      <c r="M128" s="32">
        <f t="shared" si="3"/>
        <v>25915777</v>
      </c>
      <c r="N128" s="32">
        <v>10345095</v>
      </c>
      <c r="O128" s="32">
        <v>27454438</v>
      </c>
      <c r="P128" s="214">
        <f t="shared" si="5"/>
        <v>37799533</v>
      </c>
      <c r="R128" s="103">
        <f t="shared" si="4"/>
        <v>1.4585529501970942</v>
      </c>
      <c r="S128" s="216"/>
      <c r="T128" s="103"/>
      <c r="U128" s="104"/>
    </row>
    <row r="129" spans="3:21" ht="15" customHeight="1" x14ac:dyDescent="0.25">
      <c r="C129" s="127" t="s">
        <v>65</v>
      </c>
      <c r="D129" s="214">
        <f>SUM(D109:D128)</f>
        <v>153300456.81334999</v>
      </c>
      <c r="E129" s="214">
        <f>SUM(E109:E128)</f>
        <v>207197226.85267049</v>
      </c>
      <c r="F129" s="214">
        <f t="shared" si="0"/>
        <v>360497683.66602051</v>
      </c>
      <c r="G129" s="214">
        <f>SUM(G109:G128)</f>
        <v>156432701.25999999</v>
      </c>
      <c r="H129" s="214">
        <f>SUM(H109:H128)</f>
        <v>227469651</v>
      </c>
      <c r="I129" s="214">
        <f t="shared" si="1"/>
        <v>383902352.25999999</v>
      </c>
      <c r="J129" s="215"/>
      <c r="K129" s="214">
        <f t="shared" ref="K129:P129" si="6">SUM(K109:K128)</f>
        <v>271008615</v>
      </c>
      <c r="L129" s="214">
        <f t="shared" si="6"/>
        <v>464758438</v>
      </c>
      <c r="M129" s="214">
        <f t="shared" si="6"/>
        <v>735767053</v>
      </c>
      <c r="N129" s="214">
        <f t="shared" si="6"/>
        <v>301861417</v>
      </c>
      <c r="O129" s="214">
        <f t="shared" si="6"/>
        <v>385268997</v>
      </c>
      <c r="P129" s="217">
        <f t="shared" si="6"/>
        <v>687130414</v>
      </c>
      <c r="R129" s="103">
        <f>SUM(R109:R128)</f>
        <v>24.639147512078722</v>
      </c>
      <c r="S129" s="218"/>
      <c r="T129" s="103"/>
      <c r="U129" s="104"/>
    </row>
    <row r="130" spans="3:21" ht="15" customHeight="1" x14ac:dyDescent="0.25">
      <c r="R130" s="104"/>
      <c r="S130" s="104"/>
      <c r="T130" s="104"/>
      <c r="U130" s="104"/>
    </row>
    <row r="131" spans="3:21" ht="15" customHeight="1" x14ac:dyDescent="0.25">
      <c r="R131" s="104"/>
      <c r="S131" s="104"/>
      <c r="T131" s="104"/>
      <c r="U131" s="104"/>
    </row>
    <row r="132" spans="3:21" x14ac:dyDescent="0.25">
      <c r="R132" s="104"/>
      <c r="S132" s="104"/>
      <c r="T132" s="104"/>
      <c r="U132" s="104"/>
    </row>
    <row r="133" spans="3:21" x14ac:dyDescent="0.25">
      <c r="O133" s="181"/>
      <c r="R133" s="104"/>
      <c r="S133" s="104"/>
      <c r="T133" s="104"/>
      <c r="U133" s="104"/>
    </row>
    <row r="134" spans="3:21" x14ac:dyDescent="0.25">
      <c r="N134">
        <v>301861417</v>
      </c>
      <c r="R134" s="104"/>
      <c r="S134" s="104"/>
      <c r="T134" s="104"/>
      <c r="U134" s="104"/>
    </row>
    <row r="135" spans="3:21" x14ac:dyDescent="0.25">
      <c r="N135" s="181">
        <f>N134-N129</f>
        <v>0</v>
      </c>
      <c r="R135" s="104"/>
      <c r="S135" s="104"/>
      <c r="T135" s="104"/>
      <c r="U135" s="104"/>
    </row>
  </sheetData>
  <mergeCells count="107">
    <mergeCell ref="I93:K93"/>
    <mergeCell ref="C97:H97"/>
    <mergeCell ref="I97:K97"/>
    <mergeCell ref="C94:H94"/>
    <mergeCell ref="I94:K94"/>
    <mergeCell ref="C95:H95"/>
    <mergeCell ref="I95:K95"/>
    <mergeCell ref="C96:H96"/>
    <mergeCell ref="C10:H10"/>
    <mergeCell ref="I10:K10"/>
    <mergeCell ref="I38:K38"/>
    <mergeCell ref="C39:H39"/>
    <mergeCell ref="C40:H40"/>
    <mergeCell ref="C20:H20"/>
    <mergeCell ref="I20:K20"/>
    <mergeCell ref="C30:H30"/>
    <mergeCell ref="C31:H31"/>
    <mergeCell ref="C33:H33"/>
    <mergeCell ref="C26:H26"/>
    <mergeCell ref="C29:H29"/>
    <mergeCell ref="C21:H21"/>
    <mergeCell ref="I21:K21"/>
    <mergeCell ref="C22:H22"/>
    <mergeCell ref="C23:H23"/>
    <mergeCell ref="C4:K4"/>
    <mergeCell ref="B5:K5"/>
    <mergeCell ref="B6:H6"/>
    <mergeCell ref="C8:H8"/>
    <mergeCell ref="C9:H9"/>
    <mergeCell ref="C91:H91"/>
    <mergeCell ref="I91:K91"/>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34:H34"/>
    <mergeCell ref="C35:H35"/>
    <mergeCell ref="C25:H25"/>
    <mergeCell ref="C43:H43"/>
    <mergeCell ref="C38:H38"/>
    <mergeCell ref="C60:H60"/>
    <mergeCell ref="C44:H44"/>
    <mergeCell ref="C45:H45"/>
    <mergeCell ref="C48:H48"/>
    <mergeCell ref="C49:H49"/>
    <mergeCell ref="C50:H50"/>
    <mergeCell ref="C53:H53"/>
    <mergeCell ref="C54:H54"/>
    <mergeCell ref="C55:H55"/>
    <mergeCell ref="C58:H58"/>
    <mergeCell ref="C59:H59"/>
    <mergeCell ref="B68:K68"/>
    <mergeCell ref="C69:H69"/>
    <mergeCell ref="C70:H70"/>
    <mergeCell ref="N107:P107"/>
    <mergeCell ref="R107:R108"/>
    <mergeCell ref="C63:H63"/>
    <mergeCell ref="C64:H64"/>
    <mergeCell ref="C65:H65"/>
    <mergeCell ref="C67:H67"/>
    <mergeCell ref="I67:K67"/>
    <mergeCell ref="C107:C108"/>
    <mergeCell ref="D107:F107"/>
    <mergeCell ref="G107:I107"/>
    <mergeCell ref="K107:M107"/>
    <mergeCell ref="B86:K86"/>
    <mergeCell ref="C87:H87"/>
    <mergeCell ref="C88:H88"/>
    <mergeCell ref="C90:H90"/>
    <mergeCell ref="I90:K90"/>
    <mergeCell ref="C92:H92"/>
    <mergeCell ref="I92:K92"/>
    <mergeCell ref="C93:H93"/>
    <mergeCell ref="C73:H73"/>
    <mergeCell ref="I73:K73"/>
    <mergeCell ref="C74:H74"/>
    <mergeCell ref="I74:K74"/>
    <mergeCell ref="C75:H75"/>
    <mergeCell ref="C72:H72"/>
    <mergeCell ref="I72:K72"/>
    <mergeCell ref="C80:H80"/>
    <mergeCell ref="I80:K80"/>
    <mergeCell ref="C76:H76"/>
    <mergeCell ref="I76:K76"/>
    <mergeCell ref="B77:K77"/>
    <mergeCell ref="C78:H78"/>
    <mergeCell ref="C79:H79"/>
    <mergeCell ref="C84:H84"/>
    <mergeCell ref="C85:H85"/>
    <mergeCell ref="I85:K85"/>
    <mergeCell ref="C81:H81"/>
    <mergeCell ref="I81:K81"/>
    <mergeCell ref="C82:H82"/>
    <mergeCell ref="I82:K82"/>
    <mergeCell ref="C83:H83"/>
    <mergeCell ref="I83:K83"/>
  </mergeCells>
  <pageMargins left="0" right="0.11811023622047245" top="0.41" bottom="0.74803149606299213" header="0.31496062992125984" footer="0.31496062992125984"/>
  <pageSetup scale="7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D34"/>
  <sheetViews>
    <sheetView zoomScale="90" zoomScaleNormal="90" workbookViewId="0">
      <selection activeCell="B3" sqref="B3:C3"/>
    </sheetView>
  </sheetViews>
  <sheetFormatPr baseColWidth="10" defaultRowHeight="15" x14ac:dyDescent="0.25"/>
  <cols>
    <col min="1" max="1" width="3.5703125" customWidth="1"/>
    <col min="2" max="2" width="29" customWidth="1"/>
    <col min="3" max="3" width="30.5703125" customWidth="1"/>
  </cols>
  <sheetData>
    <row r="1" spans="2:4" x14ac:dyDescent="0.25">
      <c r="B1" s="1204"/>
      <c r="C1" s="1204"/>
    </row>
    <row r="2" spans="2:4" x14ac:dyDescent="0.25">
      <c r="B2" s="8"/>
      <c r="C2" s="8"/>
    </row>
    <row r="3" spans="2:4" x14ac:dyDescent="0.25">
      <c r="B3" s="942" t="s">
        <v>327</v>
      </c>
      <c r="C3" s="942"/>
    </row>
    <row r="4" spans="2:4" x14ac:dyDescent="0.25">
      <c r="B4" s="942"/>
      <c r="C4" s="942"/>
    </row>
    <row r="5" spans="2:4" ht="15.75" thickBot="1" x14ac:dyDescent="0.3">
      <c r="B5" s="12"/>
      <c r="C5" s="12"/>
    </row>
    <row r="6" spans="2:4" ht="15" customHeight="1" x14ac:dyDescent="0.25">
      <c r="B6" s="1077" t="s">
        <v>83</v>
      </c>
      <c r="C6" s="1082" t="s">
        <v>326</v>
      </c>
    </row>
    <row r="7" spans="2:4" x14ac:dyDescent="0.25">
      <c r="B7" s="1078"/>
      <c r="C7" s="1206"/>
    </row>
    <row r="8" spans="2:4" x14ac:dyDescent="0.25">
      <c r="B8" s="1078"/>
      <c r="C8" s="1206"/>
    </row>
    <row r="9" spans="2:4" ht="15.75" thickBot="1" x14ac:dyDescent="0.3">
      <c r="B9" s="1079"/>
      <c r="C9" s="1207"/>
    </row>
    <row r="10" spans="2:4" ht="24" customHeight="1" x14ac:dyDescent="0.25">
      <c r="B10" s="132" t="s">
        <v>45</v>
      </c>
      <c r="C10" s="415">
        <v>37232</v>
      </c>
      <c r="D10" s="59"/>
    </row>
    <row r="11" spans="2:4" ht="24" customHeight="1" x14ac:dyDescent="0.25">
      <c r="B11" s="132" t="s">
        <v>46</v>
      </c>
      <c r="C11" s="416">
        <v>15393</v>
      </c>
      <c r="D11" s="59"/>
    </row>
    <row r="12" spans="2:4" ht="24" customHeight="1" x14ac:dyDescent="0.25">
      <c r="B12" s="132" t="s">
        <v>47</v>
      </c>
      <c r="C12" s="403">
        <v>11536</v>
      </c>
      <c r="D12" s="59"/>
    </row>
    <row r="13" spans="2:4" ht="24" customHeight="1" x14ac:dyDescent="0.25">
      <c r="B13" s="132" t="s">
        <v>48</v>
      </c>
      <c r="C13" s="403">
        <v>187632</v>
      </c>
      <c r="D13" s="59"/>
    </row>
    <row r="14" spans="2:4" ht="24" customHeight="1" x14ac:dyDescent="0.25">
      <c r="B14" s="132" t="s">
        <v>49</v>
      </c>
      <c r="C14" s="403">
        <v>77436</v>
      </c>
      <c r="D14" s="59"/>
    </row>
    <row r="15" spans="2:4" ht="24" customHeight="1" x14ac:dyDescent="0.25">
      <c r="B15" s="132" t="s">
        <v>50</v>
      </c>
      <c r="C15" s="403">
        <v>47550</v>
      </c>
      <c r="D15" s="59"/>
    </row>
    <row r="16" spans="2:4" ht="24" customHeight="1" x14ac:dyDescent="0.25">
      <c r="B16" s="132" t="s">
        <v>51</v>
      </c>
      <c r="C16" s="403">
        <v>12230</v>
      </c>
      <c r="D16" s="59"/>
    </row>
    <row r="17" spans="2:4" ht="24" customHeight="1" x14ac:dyDescent="0.25">
      <c r="B17" s="132" t="s">
        <v>52</v>
      </c>
      <c r="C17" s="403">
        <v>29299</v>
      </c>
      <c r="D17" s="59"/>
    </row>
    <row r="18" spans="2:4" ht="24" customHeight="1" x14ac:dyDescent="0.25">
      <c r="B18" s="132" t="s">
        <v>53</v>
      </c>
      <c r="C18" s="403">
        <v>19321</v>
      </c>
      <c r="D18" s="59"/>
    </row>
    <row r="19" spans="2:4" ht="24" customHeight="1" x14ac:dyDescent="0.25">
      <c r="B19" s="132" t="s">
        <v>54</v>
      </c>
      <c r="C19" s="403">
        <v>13719</v>
      </c>
      <c r="D19" s="59"/>
    </row>
    <row r="20" spans="2:4" ht="24" customHeight="1" x14ac:dyDescent="0.25">
      <c r="B20" s="132" t="s">
        <v>55</v>
      </c>
      <c r="C20" s="403">
        <v>33567</v>
      </c>
      <c r="D20" s="59"/>
    </row>
    <row r="21" spans="2:4" ht="24" customHeight="1" x14ac:dyDescent="0.25">
      <c r="B21" s="132" t="s">
        <v>56</v>
      </c>
      <c r="C21" s="403">
        <v>24096</v>
      </c>
      <c r="D21" s="59"/>
    </row>
    <row r="22" spans="2:4" ht="24" customHeight="1" x14ac:dyDescent="0.25">
      <c r="B22" s="132" t="s">
        <v>57</v>
      </c>
      <c r="C22" s="403">
        <v>41518</v>
      </c>
      <c r="D22" s="59"/>
    </row>
    <row r="23" spans="2:4" ht="24" customHeight="1" x14ac:dyDescent="0.25">
      <c r="B23" s="132" t="s">
        <v>58</v>
      </c>
      <c r="C23" s="403">
        <v>7683</v>
      </c>
      <c r="D23" s="59"/>
    </row>
    <row r="24" spans="2:4" ht="24" customHeight="1" x14ac:dyDescent="0.25">
      <c r="B24" s="132" t="s">
        <v>59</v>
      </c>
      <c r="C24" s="403">
        <v>24911</v>
      </c>
      <c r="D24" s="59"/>
    </row>
    <row r="25" spans="2:4" ht="24" customHeight="1" x14ac:dyDescent="0.25">
      <c r="B25" s="132" t="s">
        <v>60</v>
      </c>
      <c r="C25" s="403">
        <v>93981</v>
      </c>
      <c r="D25" s="59"/>
    </row>
    <row r="26" spans="2:4" ht="24" customHeight="1" x14ac:dyDescent="0.25">
      <c r="B26" s="132" t="s">
        <v>61</v>
      </c>
      <c r="C26" s="403">
        <v>37135</v>
      </c>
      <c r="D26" s="59"/>
    </row>
    <row r="27" spans="2:4" ht="24" customHeight="1" x14ac:dyDescent="0.25">
      <c r="B27" s="132" t="s">
        <v>62</v>
      </c>
      <c r="C27" s="403">
        <v>425924</v>
      </c>
      <c r="D27" s="59"/>
    </row>
    <row r="28" spans="2:4" ht="24" customHeight="1" x14ac:dyDescent="0.25">
      <c r="B28" s="132" t="s">
        <v>63</v>
      </c>
      <c r="C28" s="403">
        <v>30064</v>
      </c>
      <c r="D28" s="59"/>
    </row>
    <row r="29" spans="2:4" ht="24" customHeight="1" thickBot="1" x14ac:dyDescent="0.3">
      <c r="B29" s="132" t="s">
        <v>64</v>
      </c>
      <c r="C29" s="403">
        <v>65229</v>
      </c>
      <c r="D29" s="59"/>
    </row>
    <row r="30" spans="2:4" ht="24" customHeight="1" thickBot="1" x14ac:dyDescent="0.3">
      <c r="B30" s="134" t="s">
        <v>65</v>
      </c>
      <c r="C30" s="417">
        <f>SUM(C10:C29)</f>
        <v>1235456</v>
      </c>
    </row>
    <row r="31" spans="2:4" x14ac:dyDescent="0.25">
      <c r="B31" s="8"/>
      <c r="C31" s="8"/>
    </row>
    <row r="32" spans="2:4" x14ac:dyDescent="0.25">
      <c r="B32" s="8" t="s">
        <v>166</v>
      </c>
      <c r="C32" s="8"/>
    </row>
    <row r="33" spans="2:3" x14ac:dyDescent="0.25">
      <c r="B33" s="1205" t="s">
        <v>328</v>
      </c>
      <c r="C33" s="1205"/>
    </row>
    <row r="34" spans="2:3" x14ac:dyDescent="0.25">
      <c r="B34" s="1205"/>
      <c r="C34" s="1205"/>
    </row>
  </sheetData>
  <mergeCells count="6">
    <mergeCell ref="B1:C1"/>
    <mergeCell ref="B33:C3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1"/>
  <sheetViews>
    <sheetView workbookViewId="0">
      <selection sqref="A1:G1"/>
    </sheetView>
  </sheetViews>
  <sheetFormatPr baseColWidth="10" defaultRowHeight="15" x14ac:dyDescent="0.25"/>
  <cols>
    <col min="1" max="1" width="22.85546875" bestFit="1" customWidth="1"/>
    <col min="2" max="7" width="17" bestFit="1" customWidth="1"/>
  </cols>
  <sheetData>
    <row r="1" spans="1:8" x14ac:dyDescent="0.25">
      <c r="A1" s="1204" t="s">
        <v>260</v>
      </c>
      <c r="B1" s="1204"/>
      <c r="C1" s="1204"/>
      <c r="D1" s="1204"/>
      <c r="E1" s="1204"/>
      <c r="F1" s="1204"/>
      <c r="G1" s="1204"/>
    </row>
    <row r="2" spans="1:8" x14ac:dyDescent="0.25">
      <c r="A2" s="85"/>
      <c r="B2" s="85"/>
      <c r="C2" s="85"/>
      <c r="D2" s="85"/>
      <c r="E2" s="85"/>
      <c r="F2" s="85"/>
      <c r="G2" s="85"/>
    </row>
    <row r="3" spans="1:8" x14ac:dyDescent="0.25">
      <c r="A3" s="1204" t="s">
        <v>261</v>
      </c>
      <c r="B3" s="1204"/>
      <c r="C3" s="1204"/>
      <c r="D3" s="1204"/>
      <c r="E3" s="1204"/>
      <c r="F3" s="1204"/>
      <c r="G3" s="1204"/>
    </row>
    <row r="4" spans="1:8" ht="15.75" thickBot="1" x14ac:dyDescent="0.3"/>
    <row r="5" spans="1:8" x14ac:dyDescent="0.25">
      <c r="A5" s="1208" t="s">
        <v>227</v>
      </c>
      <c r="B5" s="1210">
        <v>2021</v>
      </c>
      <c r="C5" s="1211"/>
      <c r="D5" s="1212"/>
      <c r="E5" s="1210">
        <v>2022</v>
      </c>
      <c r="F5" s="1211"/>
      <c r="G5" s="1212"/>
      <c r="H5" s="180"/>
    </row>
    <row r="6" spans="1:8" ht="15.75" thickBot="1" x14ac:dyDescent="0.3">
      <c r="A6" s="1209"/>
      <c r="B6" s="159" t="s">
        <v>254</v>
      </c>
      <c r="C6" s="155" t="s">
        <v>262</v>
      </c>
      <c r="D6" s="414" t="s">
        <v>82</v>
      </c>
      <c r="E6" s="159" t="s">
        <v>254</v>
      </c>
      <c r="F6" s="155" t="s">
        <v>262</v>
      </c>
      <c r="G6" s="414" t="s">
        <v>82</v>
      </c>
      <c r="H6" s="129"/>
    </row>
    <row r="7" spans="1:8" x14ac:dyDescent="0.25">
      <c r="A7" s="404" t="s">
        <v>143</v>
      </c>
      <c r="B7" s="405">
        <v>3428296.17</v>
      </c>
      <c r="C7" s="406">
        <v>8725757.5600000005</v>
      </c>
      <c r="D7" s="407">
        <f t="shared" ref="D7:D26" si="0">B7+C7</f>
        <v>12154053.73</v>
      </c>
      <c r="E7" s="408">
        <v>4685511</v>
      </c>
      <c r="F7" s="406">
        <v>9343266</v>
      </c>
      <c r="G7" s="407">
        <f t="shared" ref="G7:G26" si="1">E7+F7</f>
        <v>14028777</v>
      </c>
    </row>
    <row r="8" spans="1:8" x14ac:dyDescent="0.25">
      <c r="A8" s="409" t="s">
        <v>144</v>
      </c>
      <c r="B8" s="410">
        <v>3406773.3000000003</v>
      </c>
      <c r="C8" s="152">
        <v>3476192.2</v>
      </c>
      <c r="D8" s="411">
        <f t="shared" si="0"/>
        <v>6882965.5</v>
      </c>
      <c r="E8" s="412">
        <v>4069102</v>
      </c>
      <c r="F8" s="152">
        <v>3194809</v>
      </c>
      <c r="G8" s="411">
        <f t="shared" si="1"/>
        <v>7263911</v>
      </c>
    </row>
    <row r="9" spans="1:8" x14ac:dyDescent="0.25">
      <c r="A9" s="409" t="s">
        <v>145</v>
      </c>
      <c r="B9" s="410">
        <v>2083457.21</v>
      </c>
      <c r="C9" s="152">
        <v>1269070.3700000001</v>
      </c>
      <c r="D9" s="411">
        <f t="shared" si="0"/>
        <v>3352527.58</v>
      </c>
      <c r="E9" s="412">
        <v>2353953</v>
      </c>
      <c r="F9" s="152">
        <v>1696928</v>
      </c>
      <c r="G9" s="411">
        <f t="shared" si="1"/>
        <v>4050881</v>
      </c>
    </row>
    <row r="10" spans="1:8" x14ac:dyDescent="0.25">
      <c r="A10" s="409" t="s">
        <v>146</v>
      </c>
      <c r="B10" s="410">
        <v>183471756.25</v>
      </c>
      <c r="C10" s="152">
        <v>152996495.66</v>
      </c>
      <c r="D10" s="411">
        <f t="shared" si="0"/>
        <v>336468251.90999997</v>
      </c>
      <c r="E10" s="412">
        <v>202700376</v>
      </c>
      <c r="F10" s="152">
        <v>144993954</v>
      </c>
      <c r="G10" s="411">
        <f t="shared" si="1"/>
        <v>347694330</v>
      </c>
    </row>
    <row r="11" spans="1:8" x14ac:dyDescent="0.25">
      <c r="A11" s="409" t="s">
        <v>147</v>
      </c>
      <c r="B11" s="410">
        <v>22835524.52</v>
      </c>
      <c r="C11" s="152">
        <v>36651534.579999998</v>
      </c>
      <c r="D11" s="411">
        <f t="shared" si="0"/>
        <v>59487059.099999994</v>
      </c>
      <c r="E11" s="412">
        <v>26434598</v>
      </c>
      <c r="F11" s="152">
        <v>42823032</v>
      </c>
      <c r="G11" s="411">
        <f t="shared" si="1"/>
        <v>69257630</v>
      </c>
    </row>
    <row r="12" spans="1:8" x14ac:dyDescent="0.25">
      <c r="A12" s="409" t="s">
        <v>148</v>
      </c>
      <c r="B12" s="410">
        <v>38491.81</v>
      </c>
      <c r="C12" s="152">
        <v>133376.59</v>
      </c>
      <c r="D12" s="411">
        <f t="shared" si="0"/>
        <v>171868.4</v>
      </c>
      <c r="E12" s="412">
        <v>30205</v>
      </c>
      <c r="F12" s="152">
        <v>81693</v>
      </c>
      <c r="G12" s="411">
        <f t="shared" si="1"/>
        <v>111898</v>
      </c>
    </row>
    <row r="13" spans="1:8" x14ac:dyDescent="0.25">
      <c r="A13" s="409" t="s">
        <v>149</v>
      </c>
      <c r="B13" s="410">
        <v>13226.89</v>
      </c>
      <c r="C13" s="152">
        <v>134994</v>
      </c>
      <c r="D13" s="411">
        <f t="shared" si="0"/>
        <v>148220.89000000001</v>
      </c>
      <c r="E13" s="412">
        <v>14333</v>
      </c>
      <c r="F13" s="152">
        <v>190564</v>
      </c>
      <c r="G13" s="411">
        <f t="shared" si="1"/>
        <v>204897</v>
      </c>
    </row>
    <row r="14" spans="1:8" x14ac:dyDescent="0.25">
      <c r="A14" s="409" t="s">
        <v>150</v>
      </c>
      <c r="B14" s="410">
        <v>6600442.2699999996</v>
      </c>
      <c r="C14" s="152">
        <v>6625182.7699999996</v>
      </c>
      <c r="D14" s="411">
        <f t="shared" si="0"/>
        <v>13225625.039999999</v>
      </c>
      <c r="E14" s="412">
        <v>6288793</v>
      </c>
      <c r="F14" s="152">
        <v>8326645</v>
      </c>
      <c r="G14" s="411">
        <f t="shared" si="1"/>
        <v>14615438</v>
      </c>
    </row>
    <row r="15" spans="1:8" x14ac:dyDescent="0.25">
      <c r="A15" s="409" t="s">
        <v>151</v>
      </c>
      <c r="B15" s="410">
        <v>2157750.75</v>
      </c>
      <c r="C15" s="152">
        <v>2931081.54</v>
      </c>
      <c r="D15" s="411">
        <f t="shared" si="0"/>
        <v>5088832.29</v>
      </c>
      <c r="E15" s="412">
        <v>1754394</v>
      </c>
      <c r="F15" s="152">
        <v>2824283</v>
      </c>
      <c r="G15" s="411">
        <f t="shared" si="1"/>
        <v>4578677</v>
      </c>
    </row>
    <row r="16" spans="1:8" x14ac:dyDescent="0.25">
      <c r="A16" s="409" t="s">
        <v>152</v>
      </c>
      <c r="B16" s="410">
        <v>515300</v>
      </c>
      <c r="C16" s="152">
        <v>323391.02</v>
      </c>
      <c r="D16" s="411">
        <f t="shared" si="0"/>
        <v>838691.02</v>
      </c>
      <c r="E16" s="412">
        <v>694855</v>
      </c>
      <c r="F16" s="152">
        <v>409031</v>
      </c>
      <c r="G16" s="411">
        <f t="shared" si="1"/>
        <v>1103886</v>
      </c>
    </row>
    <row r="17" spans="1:8" x14ac:dyDescent="0.25">
      <c r="A17" s="409" t="s">
        <v>153</v>
      </c>
      <c r="B17" s="410">
        <v>1688702.38</v>
      </c>
      <c r="C17" s="152">
        <v>1143376.42</v>
      </c>
      <c r="D17" s="411">
        <f t="shared" si="0"/>
        <v>2832078.8</v>
      </c>
      <c r="E17" s="412">
        <v>1583407</v>
      </c>
      <c r="F17" s="152">
        <v>1302490</v>
      </c>
      <c r="G17" s="411">
        <f t="shared" si="1"/>
        <v>2885897</v>
      </c>
    </row>
    <row r="18" spans="1:8" x14ac:dyDescent="0.25">
      <c r="A18" s="409" t="s">
        <v>154</v>
      </c>
      <c r="B18" s="410">
        <v>710503.91</v>
      </c>
      <c r="C18" s="152">
        <v>2437151.34</v>
      </c>
      <c r="D18" s="411">
        <f t="shared" si="0"/>
        <v>3147655.25</v>
      </c>
      <c r="E18" s="412">
        <v>861964</v>
      </c>
      <c r="F18" s="152">
        <v>1765235</v>
      </c>
      <c r="G18" s="411">
        <f t="shared" si="1"/>
        <v>2627199</v>
      </c>
    </row>
    <row r="19" spans="1:8" x14ac:dyDescent="0.25">
      <c r="A19" s="409" t="s">
        <v>155</v>
      </c>
      <c r="B19" s="410">
        <v>2970266.37</v>
      </c>
      <c r="C19" s="152">
        <v>3573130.2300000004</v>
      </c>
      <c r="D19" s="411">
        <f t="shared" si="0"/>
        <v>6543396.6000000006</v>
      </c>
      <c r="E19" s="412">
        <v>3972924</v>
      </c>
      <c r="F19" s="152">
        <v>5014619</v>
      </c>
      <c r="G19" s="411">
        <f t="shared" si="1"/>
        <v>8987543</v>
      </c>
    </row>
    <row r="20" spans="1:8" x14ac:dyDescent="0.25">
      <c r="A20" s="409" t="s">
        <v>156</v>
      </c>
      <c r="B20" s="410">
        <v>1014174.4600000001</v>
      </c>
      <c r="C20" s="152">
        <v>1316587.1299999999</v>
      </c>
      <c r="D20" s="411">
        <f t="shared" si="0"/>
        <v>2330761.59</v>
      </c>
      <c r="E20" s="412">
        <v>994390</v>
      </c>
      <c r="F20" s="152">
        <v>1296116</v>
      </c>
      <c r="G20" s="411">
        <f t="shared" si="1"/>
        <v>2290506</v>
      </c>
    </row>
    <row r="21" spans="1:8" x14ac:dyDescent="0.25">
      <c r="A21" s="409" t="s">
        <v>157</v>
      </c>
      <c r="B21" s="410">
        <v>2915271.7800000003</v>
      </c>
      <c r="C21" s="152">
        <v>1377430.3399999999</v>
      </c>
      <c r="D21" s="411">
        <f t="shared" si="0"/>
        <v>4292702.12</v>
      </c>
      <c r="E21" s="412">
        <v>3148947</v>
      </c>
      <c r="F21" s="152">
        <v>1516929</v>
      </c>
      <c r="G21" s="411">
        <f t="shared" si="1"/>
        <v>4665876</v>
      </c>
    </row>
    <row r="22" spans="1:8" x14ac:dyDescent="0.25">
      <c r="A22" s="409" t="s">
        <v>158</v>
      </c>
      <c r="B22" s="410">
        <v>5373173.21</v>
      </c>
      <c r="C22" s="152">
        <v>14876227.84</v>
      </c>
      <c r="D22" s="411">
        <f t="shared" si="0"/>
        <v>20249401.050000001</v>
      </c>
      <c r="E22" s="412">
        <v>6029533</v>
      </c>
      <c r="F22" s="152">
        <v>20787265</v>
      </c>
      <c r="G22" s="411">
        <f t="shared" si="1"/>
        <v>26816798</v>
      </c>
    </row>
    <row r="23" spans="1:8" x14ac:dyDescent="0.25">
      <c r="A23" s="409" t="s">
        <v>159</v>
      </c>
      <c r="B23" s="410">
        <v>4197224.25</v>
      </c>
      <c r="C23" s="152">
        <v>2153542.64</v>
      </c>
      <c r="D23" s="411">
        <f t="shared" si="0"/>
        <v>6350766.8900000006</v>
      </c>
      <c r="E23" s="412">
        <v>8432049</v>
      </c>
      <c r="F23" s="152">
        <v>2471919</v>
      </c>
      <c r="G23" s="411">
        <f t="shared" si="1"/>
        <v>10903968</v>
      </c>
    </row>
    <row r="24" spans="1:8" x14ac:dyDescent="0.25">
      <c r="A24" s="409" t="s">
        <v>160</v>
      </c>
      <c r="B24" s="410">
        <v>83092270.290000007</v>
      </c>
      <c r="C24" s="152">
        <v>188296962.49000001</v>
      </c>
      <c r="D24" s="411">
        <f t="shared" si="0"/>
        <v>271389232.78000003</v>
      </c>
      <c r="E24" s="412">
        <v>116346773</v>
      </c>
      <c r="F24" s="152">
        <v>242802392.05000001</v>
      </c>
      <c r="G24" s="411">
        <f t="shared" si="1"/>
        <v>359149165.05000001</v>
      </c>
    </row>
    <row r="25" spans="1:8" x14ac:dyDescent="0.25">
      <c r="A25" s="409" t="s">
        <v>161</v>
      </c>
      <c r="B25" s="410">
        <v>1556664.93</v>
      </c>
      <c r="C25" s="152">
        <v>1020973.93</v>
      </c>
      <c r="D25" s="411">
        <f t="shared" si="0"/>
        <v>2577638.86</v>
      </c>
      <c r="E25" s="412">
        <v>360697</v>
      </c>
      <c r="F25" s="152">
        <v>1799034</v>
      </c>
      <c r="G25" s="411">
        <f t="shared" si="1"/>
        <v>2159731</v>
      </c>
    </row>
    <row r="26" spans="1:8" ht="15.75" thickBot="1" x14ac:dyDescent="0.3">
      <c r="A26" s="413" t="s">
        <v>162</v>
      </c>
      <c r="B26" s="160">
        <v>15142198.689999999</v>
      </c>
      <c r="C26" s="156">
        <v>28172356.859999999</v>
      </c>
      <c r="D26" s="157">
        <f t="shared" si="0"/>
        <v>43314555.549999997</v>
      </c>
      <c r="E26" s="161">
        <v>15363561</v>
      </c>
      <c r="F26" s="156">
        <v>27491660</v>
      </c>
      <c r="G26" s="157">
        <f t="shared" si="1"/>
        <v>42855221</v>
      </c>
    </row>
    <row r="27" spans="1:8" ht="15.75" thickBot="1" x14ac:dyDescent="0.3">
      <c r="A27" s="158" t="s">
        <v>65</v>
      </c>
      <c r="B27" s="160">
        <f>SUM(B7:B26)</f>
        <v>343211469.44000006</v>
      </c>
      <c r="C27" s="156">
        <f t="shared" ref="C27" si="2">SUM(C7:C26)</f>
        <v>457634815.51000005</v>
      </c>
      <c r="D27" s="157">
        <f>SUM(D7:D26)</f>
        <v>800846284.94999993</v>
      </c>
      <c r="E27" s="161">
        <f>SUM(E7:E26)</f>
        <v>406120365</v>
      </c>
      <c r="F27" s="161">
        <f>SUM(F7:F26)</f>
        <v>520131864.05000001</v>
      </c>
      <c r="G27" s="157">
        <f>SUM(G7:G26)</f>
        <v>926252229.04999995</v>
      </c>
      <c r="H27" s="181"/>
    </row>
    <row r="30" spans="1:8" x14ac:dyDescent="0.25">
      <c r="C30" s="104"/>
      <c r="E30" s="131"/>
    </row>
    <row r="31" spans="1:8" x14ac:dyDescent="0.25">
      <c r="F31" s="131"/>
    </row>
  </sheetData>
  <mergeCells count="5">
    <mergeCell ref="A5:A6"/>
    <mergeCell ref="B5:D5"/>
    <mergeCell ref="E5:G5"/>
    <mergeCell ref="A1:G1"/>
    <mergeCell ref="A3:G3"/>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6"/>
  <sheetViews>
    <sheetView workbookViewId="0">
      <selection activeCell="B10" sqref="B10"/>
    </sheetView>
  </sheetViews>
  <sheetFormatPr baseColWidth="10" defaultRowHeight="15" x14ac:dyDescent="0.25"/>
  <cols>
    <col min="1" max="1" width="16.5703125" customWidth="1"/>
    <col min="2" max="2" width="9.28515625" customWidth="1"/>
    <col min="3" max="14" width="11.7109375" bestFit="1" customWidth="1"/>
    <col min="15" max="15" width="13" bestFit="1" customWidth="1"/>
    <col min="16" max="16" width="12.7109375" bestFit="1" customWidth="1"/>
  </cols>
  <sheetData>
    <row r="1" spans="1:17" ht="15.75" x14ac:dyDescent="0.25">
      <c r="A1" s="1213" t="s">
        <v>269</v>
      </c>
      <c r="B1" s="1213"/>
      <c r="C1" s="1213"/>
      <c r="D1" s="1213"/>
      <c r="E1" s="1213"/>
      <c r="F1" s="1213"/>
      <c r="G1" s="1213"/>
      <c r="H1" s="1213"/>
      <c r="I1" s="1213"/>
      <c r="J1" s="1213"/>
      <c r="K1" s="1213"/>
      <c r="L1" s="1213"/>
      <c r="M1" s="1213"/>
      <c r="N1" s="1213"/>
      <c r="O1" s="1213"/>
      <c r="P1" s="552"/>
      <c r="Q1" s="552"/>
    </row>
    <row r="2" spans="1:17" x14ac:dyDescent="0.25">
      <c r="A2" s="1214" t="s">
        <v>270</v>
      </c>
      <c r="B2" s="1214"/>
      <c r="C2" s="1214"/>
      <c r="D2" s="1214"/>
      <c r="E2" s="1214"/>
      <c r="F2" s="1214"/>
      <c r="G2" s="1214"/>
      <c r="H2" s="1214"/>
      <c r="I2" s="1214"/>
      <c r="J2" s="1214"/>
      <c r="K2" s="1214"/>
      <c r="L2" s="1214"/>
      <c r="M2" s="1214"/>
      <c r="N2" s="1214"/>
      <c r="O2" s="1214"/>
      <c r="P2" s="552"/>
      <c r="Q2" s="552"/>
    </row>
    <row r="3" spans="1:17" x14ac:dyDescent="0.25">
      <c r="A3" s="1214" t="s">
        <v>271</v>
      </c>
      <c r="B3" s="1214"/>
      <c r="C3" s="1214"/>
      <c r="D3" s="1214"/>
      <c r="E3" s="1214"/>
      <c r="F3" s="1214"/>
      <c r="G3" s="1214"/>
      <c r="H3" s="1214"/>
      <c r="I3" s="1214"/>
      <c r="J3" s="1214"/>
      <c r="K3" s="1214"/>
      <c r="L3" s="1214"/>
      <c r="M3" s="1214"/>
      <c r="N3" s="1214"/>
      <c r="O3" s="1214"/>
      <c r="P3" s="552"/>
      <c r="Q3" s="552"/>
    </row>
    <row r="4" spans="1:17" x14ac:dyDescent="0.25">
      <c r="A4" s="1215" t="s">
        <v>304</v>
      </c>
      <c r="B4" s="1215"/>
      <c r="C4" s="1215"/>
      <c r="D4" s="1215"/>
      <c r="E4" s="1215"/>
      <c r="F4" s="1215"/>
      <c r="G4" s="1215"/>
      <c r="H4" s="1215"/>
      <c r="I4" s="1215"/>
      <c r="J4" s="1215"/>
      <c r="K4" s="1215"/>
      <c r="L4" s="1215"/>
      <c r="M4" s="1215"/>
      <c r="N4" s="1215"/>
      <c r="O4" s="1215"/>
      <c r="P4" s="552"/>
      <c r="Q4" s="552"/>
    </row>
    <row r="5" spans="1:17" ht="15.75" thickBot="1" x14ac:dyDescent="0.3">
      <c r="A5" s="552"/>
      <c r="B5" s="552"/>
      <c r="C5" s="552"/>
      <c r="D5" s="552"/>
      <c r="E5" s="552"/>
      <c r="F5" s="552"/>
      <c r="G5" s="552"/>
      <c r="H5" s="552"/>
      <c r="I5" s="552"/>
      <c r="J5" s="552"/>
      <c r="K5" s="552"/>
      <c r="L5" s="552"/>
      <c r="M5" s="552"/>
      <c r="N5" s="552"/>
      <c r="O5" s="552"/>
      <c r="P5" s="552"/>
      <c r="Q5" s="552"/>
    </row>
    <row r="6" spans="1:17" ht="24" thickBot="1" x14ac:dyDescent="0.3">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c r="P6" s="552"/>
      <c r="Q6" s="552"/>
    </row>
    <row r="7" spans="1:17" x14ac:dyDescent="0.25">
      <c r="A7" s="557" t="s">
        <v>274</v>
      </c>
      <c r="B7" s="558">
        <f>'[2]FGP simpl'!$C$16</f>
        <v>3.6636711021849497</v>
      </c>
      <c r="C7" s="559">
        <f t="shared" ref="C7:C26" si="0">$C$32*B7/100</f>
        <v>7321.4505632786977</v>
      </c>
      <c r="D7" s="559">
        <f t="shared" ref="D7:D26" si="1">$D$32*B7/100</f>
        <v>7321.4505632786977</v>
      </c>
      <c r="E7" s="559">
        <f t="shared" ref="E7:E26" si="2">$E$32*B7/100</f>
        <v>7321.4505632786977</v>
      </c>
      <c r="F7" s="559">
        <f t="shared" ref="F7:F26" si="3">$F$32*B7/100</f>
        <v>7321.4505632786977</v>
      </c>
      <c r="G7" s="559">
        <f t="shared" ref="G7:G26" si="4">$G$32*B7/100</f>
        <v>7321.4505632786977</v>
      </c>
      <c r="H7" s="559">
        <f t="shared" ref="H7:H26" si="5">$H$32*B7/100</f>
        <v>7321.4505632786977</v>
      </c>
      <c r="I7" s="559">
        <f t="shared" ref="I7:I26" si="6">$I$32*B7/100</f>
        <v>7321.4505632786977</v>
      </c>
      <c r="J7" s="559">
        <f t="shared" ref="J7:J26" si="7">$J$32*B7/100</f>
        <v>7321.4505632786977</v>
      </c>
      <c r="K7" s="559">
        <f t="shared" ref="K7:K26" si="8">$K$32*B7/100</f>
        <v>7321.4505632786977</v>
      </c>
      <c r="L7" s="559">
        <f t="shared" ref="L7:L26" si="9">$L$32*B7/100</f>
        <v>7321.4505632786977</v>
      </c>
      <c r="M7" s="559">
        <f t="shared" ref="M7:M26" si="10">$M$32*B7/100</f>
        <v>7321.4505632786977</v>
      </c>
      <c r="N7" s="559">
        <f t="shared" ref="N7:N26" si="11">$N$32*B7/100</f>
        <v>7321.4505632786977</v>
      </c>
      <c r="O7" s="560">
        <f>SUM(C7:N7)</f>
        <v>87857.406759344391</v>
      </c>
      <c r="P7" s="561"/>
      <c r="Q7" s="561"/>
    </row>
    <row r="8" spans="1:17" x14ac:dyDescent="0.25">
      <c r="A8" s="557" t="s">
        <v>144</v>
      </c>
      <c r="B8" s="558">
        <v>2.8774681766767136</v>
      </c>
      <c r="C8" s="559">
        <f t="shared" si="0"/>
        <v>5750.3090248418084</v>
      </c>
      <c r="D8" s="559">
        <f t="shared" si="1"/>
        <v>5750.3090248418084</v>
      </c>
      <c r="E8" s="559">
        <f t="shared" si="2"/>
        <v>5750.3090248418084</v>
      </c>
      <c r="F8" s="559">
        <f t="shared" si="3"/>
        <v>5750.3090248418084</v>
      </c>
      <c r="G8" s="559">
        <f t="shared" si="4"/>
        <v>5750.3090248418084</v>
      </c>
      <c r="H8" s="559">
        <f t="shared" si="5"/>
        <v>5750.3090248418084</v>
      </c>
      <c r="I8" s="559">
        <f t="shared" si="6"/>
        <v>5750.3090248418084</v>
      </c>
      <c r="J8" s="559">
        <f t="shared" si="7"/>
        <v>5750.3090248418084</v>
      </c>
      <c r="K8" s="559">
        <f t="shared" si="8"/>
        <v>5750.3090248418084</v>
      </c>
      <c r="L8" s="559">
        <f t="shared" si="9"/>
        <v>5750.3090248418084</v>
      </c>
      <c r="M8" s="559">
        <f t="shared" si="10"/>
        <v>5750.3090248418084</v>
      </c>
      <c r="N8" s="559">
        <f t="shared" si="11"/>
        <v>5750.3090248418084</v>
      </c>
      <c r="O8" s="560">
        <f t="shared" ref="O8:O26" si="12">SUM(C8:N8)</f>
        <v>69003.708298101701</v>
      </c>
      <c r="P8" s="561"/>
      <c r="Q8" s="552"/>
    </row>
    <row r="9" spans="1:17" x14ac:dyDescent="0.25">
      <c r="A9" s="557" t="s">
        <v>145</v>
      </c>
      <c r="B9" s="558">
        <v>4.7152682285520395</v>
      </c>
      <c r="C9" s="559">
        <f t="shared" si="0"/>
        <v>9422.9537163840378</v>
      </c>
      <c r="D9" s="559">
        <f t="shared" si="1"/>
        <v>9422.9537163840378</v>
      </c>
      <c r="E9" s="559">
        <f t="shared" si="2"/>
        <v>9422.9537163840378</v>
      </c>
      <c r="F9" s="559">
        <f t="shared" si="3"/>
        <v>9422.9537163840378</v>
      </c>
      <c r="G9" s="559">
        <f t="shared" si="4"/>
        <v>9422.9537163840378</v>
      </c>
      <c r="H9" s="559">
        <f t="shared" si="5"/>
        <v>9422.9537163840378</v>
      </c>
      <c r="I9" s="559">
        <f t="shared" si="6"/>
        <v>9422.9537163840378</v>
      </c>
      <c r="J9" s="559">
        <f t="shared" si="7"/>
        <v>9422.9537163840378</v>
      </c>
      <c r="K9" s="559">
        <f t="shared" si="8"/>
        <v>9422.9537163840378</v>
      </c>
      <c r="L9" s="559">
        <f t="shared" si="9"/>
        <v>9422.9537163840378</v>
      </c>
      <c r="M9" s="559">
        <f t="shared" si="10"/>
        <v>9422.9537163840378</v>
      </c>
      <c r="N9" s="559">
        <f t="shared" si="11"/>
        <v>9422.9537163840378</v>
      </c>
      <c r="O9" s="560">
        <f t="shared" si="12"/>
        <v>113075.44459660847</v>
      </c>
      <c r="P9" s="561"/>
      <c r="Q9" s="552"/>
    </row>
    <row r="10" spans="1:17" x14ac:dyDescent="0.25">
      <c r="A10" s="557" t="s">
        <v>275</v>
      </c>
      <c r="B10" s="558">
        <v>9.1392838894846484</v>
      </c>
      <c r="C10" s="559">
        <f t="shared" si="0"/>
        <v>18263.870668064515</v>
      </c>
      <c r="D10" s="559">
        <f t="shared" si="1"/>
        <v>18263.870668064515</v>
      </c>
      <c r="E10" s="559">
        <f t="shared" si="2"/>
        <v>18263.870668064515</v>
      </c>
      <c r="F10" s="559">
        <f t="shared" si="3"/>
        <v>18263.870668064515</v>
      </c>
      <c r="G10" s="559">
        <f t="shared" si="4"/>
        <v>18263.870668064515</v>
      </c>
      <c r="H10" s="559">
        <f t="shared" si="5"/>
        <v>18263.870668064515</v>
      </c>
      <c r="I10" s="559">
        <f t="shared" si="6"/>
        <v>18263.870668064515</v>
      </c>
      <c r="J10" s="559">
        <f t="shared" si="7"/>
        <v>18263.870668064515</v>
      </c>
      <c r="K10" s="559">
        <f t="shared" si="8"/>
        <v>18263.870668064515</v>
      </c>
      <c r="L10" s="559">
        <f t="shared" si="9"/>
        <v>18263.870668064515</v>
      </c>
      <c r="M10" s="559">
        <f t="shared" si="10"/>
        <v>18263.870668064515</v>
      </c>
      <c r="N10" s="559">
        <f t="shared" si="11"/>
        <v>18263.870668064515</v>
      </c>
      <c r="O10" s="560">
        <f t="shared" si="12"/>
        <v>219166.44801677417</v>
      </c>
      <c r="P10" s="561"/>
      <c r="Q10" s="552"/>
    </row>
    <row r="11" spans="1:17" x14ac:dyDescent="0.25">
      <c r="A11" s="557" t="s">
        <v>147</v>
      </c>
      <c r="B11" s="558">
        <v>5.3963653133391265</v>
      </c>
      <c r="C11" s="559">
        <f t="shared" si="0"/>
        <v>10784.052596708738</v>
      </c>
      <c r="D11" s="559">
        <f t="shared" si="1"/>
        <v>10784.052596708738</v>
      </c>
      <c r="E11" s="559">
        <f t="shared" si="2"/>
        <v>10784.052596708738</v>
      </c>
      <c r="F11" s="559">
        <f t="shared" si="3"/>
        <v>10784.052596708738</v>
      </c>
      <c r="G11" s="559">
        <f t="shared" si="4"/>
        <v>10784.052596708738</v>
      </c>
      <c r="H11" s="559">
        <f t="shared" si="5"/>
        <v>10784.052596708738</v>
      </c>
      <c r="I11" s="559">
        <f t="shared" si="6"/>
        <v>10784.052596708738</v>
      </c>
      <c r="J11" s="559">
        <f t="shared" si="7"/>
        <v>10784.052596708738</v>
      </c>
      <c r="K11" s="559">
        <f t="shared" si="8"/>
        <v>10784.052596708738</v>
      </c>
      <c r="L11" s="559">
        <f t="shared" si="9"/>
        <v>10784.052596708738</v>
      </c>
      <c r="M11" s="559">
        <f t="shared" si="10"/>
        <v>10784.052596708738</v>
      </c>
      <c r="N11" s="559">
        <f t="shared" si="11"/>
        <v>10784.052596708738</v>
      </c>
      <c r="O11" s="560">
        <f t="shared" si="12"/>
        <v>129408.63116050482</v>
      </c>
      <c r="P11" s="561"/>
      <c r="Q11" s="552"/>
    </row>
    <row r="12" spans="1:17" x14ac:dyDescent="0.25">
      <c r="A12" s="557" t="s">
        <v>276</v>
      </c>
      <c r="B12" s="558">
        <v>3.6295907588400458</v>
      </c>
      <c r="C12" s="559">
        <f t="shared" si="0"/>
        <v>7253.3446820410309</v>
      </c>
      <c r="D12" s="559">
        <f t="shared" si="1"/>
        <v>7253.3446820410309</v>
      </c>
      <c r="E12" s="559">
        <f t="shared" si="2"/>
        <v>7253.3446820410309</v>
      </c>
      <c r="F12" s="559">
        <f t="shared" si="3"/>
        <v>7253.3446820410309</v>
      </c>
      <c r="G12" s="559">
        <f t="shared" si="4"/>
        <v>7253.3446820410309</v>
      </c>
      <c r="H12" s="559">
        <f t="shared" si="5"/>
        <v>7253.3446820410309</v>
      </c>
      <c r="I12" s="559">
        <f t="shared" si="6"/>
        <v>7253.3446820410309</v>
      </c>
      <c r="J12" s="559">
        <f t="shared" si="7"/>
        <v>7253.3446820410309</v>
      </c>
      <c r="K12" s="559">
        <f t="shared" si="8"/>
        <v>7253.3446820410309</v>
      </c>
      <c r="L12" s="559">
        <f t="shared" si="9"/>
        <v>7253.3446820410309</v>
      </c>
      <c r="M12" s="559">
        <f t="shared" si="10"/>
        <v>7253.3446820410309</v>
      </c>
      <c r="N12" s="559">
        <f t="shared" si="11"/>
        <v>7253.3446820410309</v>
      </c>
      <c r="O12" s="560">
        <f t="shared" si="12"/>
        <v>87040.136184492367</v>
      </c>
      <c r="P12" s="561"/>
      <c r="Q12" s="552"/>
    </row>
    <row r="13" spans="1:17" x14ac:dyDescent="0.25">
      <c r="A13" s="557" t="s">
        <v>149</v>
      </c>
      <c r="B13" s="558">
        <v>4.0700473326514279</v>
      </c>
      <c r="C13" s="559">
        <f t="shared" si="0"/>
        <v>8133.5495204360341</v>
      </c>
      <c r="D13" s="559">
        <f t="shared" si="1"/>
        <v>8133.5495204360341</v>
      </c>
      <c r="E13" s="559">
        <f t="shared" si="2"/>
        <v>8133.5495204360341</v>
      </c>
      <c r="F13" s="559">
        <f t="shared" si="3"/>
        <v>8133.5495204360341</v>
      </c>
      <c r="G13" s="559">
        <f t="shared" si="4"/>
        <v>8133.5495204360341</v>
      </c>
      <c r="H13" s="559">
        <f t="shared" si="5"/>
        <v>8133.5495204360341</v>
      </c>
      <c r="I13" s="559">
        <f t="shared" si="6"/>
        <v>8133.5495204360341</v>
      </c>
      <c r="J13" s="559">
        <f t="shared" si="7"/>
        <v>8133.5495204360341</v>
      </c>
      <c r="K13" s="559">
        <f t="shared" si="8"/>
        <v>8133.5495204360341</v>
      </c>
      <c r="L13" s="559">
        <f t="shared" si="9"/>
        <v>8133.5495204360341</v>
      </c>
      <c r="M13" s="559">
        <f t="shared" si="10"/>
        <v>8133.5495204360341</v>
      </c>
      <c r="N13" s="559">
        <f t="shared" si="11"/>
        <v>8133.5495204360341</v>
      </c>
      <c r="O13" s="560">
        <f t="shared" si="12"/>
        <v>97602.594245232409</v>
      </c>
      <c r="P13" s="561"/>
      <c r="Q13" s="552"/>
    </row>
    <row r="14" spans="1:17" x14ac:dyDescent="0.25">
      <c r="A14" s="557" t="s">
        <v>150</v>
      </c>
      <c r="B14" s="558">
        <v>3.2056447774490451</v>
      </c>
      <c r="C14" s="559">
        <f t="shared" si="0"/>
        <v>6406.1344773903538</v>
      </c>
      <c r="D14" s="559">
        <f t="shared" si="1"/>
        <v>6406.1344773903538</v>
      </c>
      <c r="E14" s="559">
        <f t="shared" si="2"/>
        <v>6406.1344773903538</v>
      </c>
      <c r="F14" s="559">
        <f t="shared" si="3"/>
        <v>6406.1344773903538</v>
      </c>
      <c r="G14" s="559">
        <f t="shared" si="4"/>
        <v>6406.1344773903538</v>
      </c>
      <c r="H14" s="559">
        <f t="shared" si="5"/>
        <v>6406.1344773903538</v>
      </c>
      <c r="I14" s="559">
        <f t="shared" si="6"/>
        <v>6406.1344773903538</v>
      </c>
      <c r="J14" s="559">
        <f t="shared" si="7"/>
        <v>6406.1344773903538</v>
      </c>
      <c r="K14" s="559">
        <f t="shared" si="8"/>
        <v>6406.1344773903538</v>
      </c>
      <c r="L14" s="559">
        <f t="shared" si="9"/>
        <v>6406.1344773903538</v>
      </c>
      <c r="M14" s="559">
        <f t="shared" si="10"/>
        <v>6406.1344773903538</v>
      </c>
      <c r="N14" s="559">
        <f t="shared" si="11"/>
        <v>6406.1344773903538</v>
      </c>
      <c r="O14" s="560">
        <f t="shared" si="12"/>
        <v>76873.613728684242</v>
      </c>
      <c r="P14" s="561"/>
      <c r="Q14" s="552"/>
    </row>
    <row r="15" spans="1:17" x14ac:dyDescent="0.25">
      <c r="A15" s="557" t="s">
        <v>151</v>
      </c>
      <c r="B15" s="558">
        <v>3.1677886526185874</v>
      </c>
      <c r="C15" s="559">
        <f t="shared" si="0"/>
        <v>6330.4831051101819</v>
      </c>
      <c r="D15" s="559">
        <f t="shared" si="1"/>
        <v>6330.4831051101819</v>
      </c>
      <c r="E15" s="559">
        <f t="shared" si="2"/>
        <v>6330.4831051101819</v>
      </c>
      <c r="F15" s="559">
        <f t="shared" si="3"/>
        <v>6330.4831051101819</v>
      </c>
      <c r="G15" s="559">
        <f t="shared" si="4"/>
        <v>6330.4831051101819</v>
      </c>
      <c r="H15" s="559">
        <f t="shared" si="5"/>
        <v>6330.4831051101819</v>
      </c>
      <c r="I15" s="559">
        <f t="shared" si="6"/>
        <v>6330.4831051101819</v>
      </c>
      <c r="J15" s="559">
        <f t="shared" si="7"/>
        <v>6330.4831051101819</v>
      </c>
      <c r="K15" s="559">
        <f t="shared" si="8"/>
        <v>6330.4831051101819</v>
      </c>
      <c r="L15" s="559">
        <f t="shared" si="9"/>
        <v>6330.4831051101819</v>
      </c>
      <c r="M15" s="559">
        <f t="shared" si="10"/>
        <v>6330.4831051101819</v>
      </c>
      <c r="N15" s="559">
        <f t="shared" si="11"/>
        <v>6330.4831051101819</v>
      </c>
      <c r="O15" s="560">
        <f t="shared" si="12"/>
        <v>75965.797261322165</v>
      </c>
      <c r="P15" s="561"/>
      <c r="Q15" s="552"/>
    </row>
    <row r="16" spans="1:17" x14ac:dyDescent="0.25">
      <c r="A16" s="557" t="s">
        <v>152</v>
      </c>
      <c r="B16" s="558">
        <v>2.8145431996763457</v>
      </c>
      <c r="C16" s="559">
        <f t="shared" si="0"/>
        <v>5624.5602620697118</v>
      </c>
      <c r="D16" s="559">
        <f t="shared" si="1"/>
        <v>5624.5602620697118</v>
      </c>
      <c r="E16" s="559">
        <f t="shared" si="2"/>
        <v>5624.5602620697118</v>
      </c>
      <c r="F16" s="559">
        <f t="shared" si="3"/>
        <v>5624.5602620697118</v>
      </c>
      <c r="G16" s="559">
        <f t="shared" si="4"/>
        <v>5624.5602620697118</v>
      </c>
      <c r="H16" s="559">
        <f t="shared" si="5"/>
        <v>5624.5602620697118</v>
      </c>
      <c r="I16" s="559">
        <f t="shared" si="6"/>
        <v>5624.5602620697118</v>
      </c>
      <c r="J16" s="559">
        <f t="shared" si="7"/>
        <v>5624.5602620697118</v>
      </c>
      <c r="K16" s="559">
        <f t="shared" si="8"/>
        <v>5624.5602620697118</v>
      </c>
      <c r="L16" s="559">
        <f t="shared" si="9"/>
        <v>5624.5602620697118</v>
      </c>
      <c r="M16" s="559">
        <f t="shared" si="10"/>
        <v>5624.5602620697118</v>
      </c>
      <c r="N16" s="559">
        <f t="shared" si="11"/>
        <v>5624.5602620697118</v>
      </c>
      <c r="O16" s="560">
        <f t="shared" si="12"/>
        <v>67494.723144836535</v>
      </c>
      <c r="P16" s="561"/>
      <c r="Q16" s="552"/>
    </row>
    <row r="17" spans="1:16" x14ac:dyDescent="0.25">
      <c r="A17" s="557" t="s">
        <v>153</v>
      </c>
      <c r="B17" s="558">
        <v>3.814501471077032</v>
      </c>
      <c r="C17" s="559">
        <f t="shared" si="0"/>
        <v>7622.868746975887</v>
      </c>
      <c r="D17" s="559">
        <f t="shared" si="1"/>
        <v>7622.868746975887</v>
      </c>
      <c r="E17" s="559">
        <f t="shared" si="2"/>
        <v>7622.868746975887</v>
      </c>
      <c r="F17" s="559">
        <f t="shared" si="3"/>
        <v>7622.868746975887</v>
      </c>
      <c r="G17" s="559">
        <f t="shared" si="4"/>
        <v>7622.868746975887</v>
      </c>
      <c r="H17" s="559">
        <f t="shared" si="5"/>
        <v>7622.868746975887</v>
      </c>
      <c r="I17" s="559">
        <f t="shared" si="6"/>
        <v>7622.868746975887</v>
      </c>
      <c r="J17" s="559">
        <f t="shared" si="7"/>
        <v>7622.868746975887</v>
      </c>
      <c r="K17" s="559">
        <f t="shared" si="8"/>
        <v>7622.868746975887</v>
      </c>
      <c r="L17" s="559">
        <f t="shared" si="9"/>
        <v>7622.868746975887</v>
      </c>
      <c r="M17" s="559">
        <f t="shared" si="10"/>
        <v>7622.868746975887</v>
      </c>
      <c r="N17" s="559">
        <f t="shared" si="11"/>
        <v>7622.868746975887</v>
      </c>
      <c r="O17" s="560">
        <f t="shared" si="12"/>
        <v>91474.42496371064</v>
      </c>
      <c r="P17" s="561"/>
    </row>
    <row r="18" spans="1:16" x14ac:dyDescent="0.25">
      <c r="A18" s="557" t="s">
        <v>154</v>
      </c>
      <c r="B18" s="558">
        <v>3.0792318274418586</v>
      </c>
      <c r="C18" s="559">
        <f t="shared" si="0"/>
        <v>6153.5118652012115</v>
      </c>
      <c r="D18" s="559">
        <f t="shared" si="1"/>
        <v>6153.5118652012115</v>
      </c>
      <c r="E18" s="559">
        <f t="shared" si="2"/>
        <v>6153.5118652012115</v>
      </c>
      <c r="F18" s="559">
        <f t="shared" si="3"/>
        <v>6153.5118652012115</v>
      </c>
      <c r="G18" s="559">
        <f t="shared" si="4"/>
        <v>6153.5118652012115</v>
      </c>
      <c r="H18" s="559">
        <f t="shared" si="5"/>
        <v>6153.5118652012115</v>
      </c>
      <c r="I18" s="559">
        <f t="shared" si="6"/>
        <v>6153.5118652012115</v>
      </c>
      <c r="J18" s="559">
        <f t="shared" si="7"/>
        <v>6153.5118652012115</v>
      </c>
      <c r="K18" s="559">
        <f t="shared" si="8"/>
        <v>6153.5118652012115</v>
      </c>
      <c r="L18" s="559">
        <f t="shared" si="9"/>
        <v>6153.5118652012115</v>
      </c>
      <c r="M18" s="559">
        <f t="shared" si="10"/>
        <v>6153.5118652012115</v>
      </c>
      <c r="N18" s="559">
        <f t="shared" si="11"/>
        <v>6153.5118652012115</v>
      </c>
      <c r="O18" s="560">
        <f t="shared" si="12"/>
        <v>73842.142382414531</v>
      </c>
      <c r="P18" s="561"/>
    </row>
    <row r="19" spans="1:16" x14ac:dyDescent="0.25">
      <c r="A19" s="557" t="s">
        <v>155</v>
      </c>
      <c r="B19" s="558">
        <v>3.9687689066587866</v>
      </c>
      <c r="C19" s="559">
        <f t="shared" si="0"/>
        <v>7931.1555368195513</v>
      </c>
      <c r="D19" s="559">
        <f t="shared" si="1"/>
        <v>7931.1555368195513</v>
      </c>
      <c r="E19" s="559">
        <f t="shared" si="2"/>
        <v>7931.1555368195513</v>
      </c>
      <c r="F19" s="559">
        <f t="shared" si="3"/>
        <v>7931.1555368195513</v>
      </c>
      <c r="G19" s="559">
        <f t="shared" si="4"/>
        <v>7931.1555368195513</v>
      </c>
      <c r="H19" s="559">
        <f t="shared" si="5"/>
        <v>7931.1555368195513</v>
      </c>
      <c r="I19" s="559">
        <f t="shared" si="6"/>
        <v>7931.1555368195513</v>
      </c>
      <c r="J19" s="559">
        <f t="shared" si="7"/>
        <v>7931.1555368195513</v>
      </c>
      <c r="K19" s="559">
        <f t="shared" si="8"/>
        <v>7931.1555368195513</v>
      </c>
      <c r="L19" s="559">
        <f t="shared" si="9"/>
        <v>7931.1555368195513</v>
      </c>
      <c r="M19" s="559">
        <f t="shared" si="10"/>
        <v>7931.1555368195513</v>
      </c>
      <c r="N19" s="559">
        <f t="shared" si="11"/>
        <v>7931.1555368195513</v>
      </c>
      <c r="O19" s="560">
        <f t="shared" si="12"/>
        <v>95173.866441834645</v>
      </c>
      <c r="P19" s="561"/>
    </row>
    <row r="20" spans="1:16" x14ac:dyDescent="0.25">
      <c r="A20" s="557" t="s">
        <v>277</v>
      </c>
      <c r="B20" s="558">
        <v>2.5568285677800717</v>
      </c>
      <c r="C20" s="559">
        <f t="shared" si="0"/>
        <v>5109.5454356195814</v>
      </c>
      <c r="D20" s="559">
        <f t="shared" si="1"/>
        <v>5109.5454356195814</v>
      </c>
      <c r="E20" s="559">
        <f t="shared" si="2"/>
        <v>5109.5454356195814</v>
      </c>
      <c r="F20" s="559">
        <f t="shared" si="3"/>
        <v>5109.5454356195814</v>
      </c>
      <c r="G20" s="559">
        <f t="shared" si="4"/>
        <v>5109.5454356195814</v>
      </c>
      <c r="H20" s="559">
        <f t="shared" si="5"/>
        <v>5109.5454356195814</v>
      </c>
      <c r="I20" s="559">
        <f t="shared" si="6"/>
        <v>5109.5454356195814</v>
      </c>
      <c r="J20" s="559">
        <f t="shared" si="7"/>
        <v>5109.5454356195814</v>
      </c>
      <c r="K20" s="559">
        <f t="shared" si="8"/>
        <v>5109.5454356195814</v>
      </c>
      <c r="L20" s="559">
        <f t="shared" si="9"/>
        <v>5109.5454356195814</v>
      </c>
      <c r="M20" s="559">
        <f t="shared" si="10"/>
        <v>5109.5454356195814</v>
      </c>
      <c r="N20" s="559">
        <f t="shared" si="11"/>
        <v>5109.5454356195814</v>
      </c>
      <c r="O20" s="560">
        <f t="shared" si="12"/>
        <v>61314.545227434988</v>
      </c>
      <c r="P20" s="561"/>
    </row>
    <row r="21" spans="1:16" x14ac:dyDescent="0.25">
      <c r="A21" s="557" t="s">
        <v>278</v>
      </c>
      <c r="B21" s="558">
        <v>3.0448340829893383</v>
      </c>
      <c r="C21" s="559">
        <f t="shared" si="0"/>
        <v>6084.7716921689689</v>
      </c>
      <c r="D21" s="559">
        <f t="shared" si="1"/>
        <v>6084.7716921689689</v>
      </c>
      <c r="E21" s="559">
        <f t="shared" si="2"/>
        <v>6084.7716921689689</v>
      </c>
      <c r="F21" s="559">
        <f t="shared" si="3"/>
        <v>6084.7716921689689</v>
      </c>
      <c r="G21" s="559">
        <f t="shared" si="4"/>
        <v>6084.7716921689689</v>
      </c>
      <c r="H21" s="559">
        <f t="shared" si="5"/>
        <v>6084.7716921689689</v>
      </c>
      <c r="I21" s="559">
        <f t="shared" si="6"/>
        <v>6084.7716921689689</v>
      </c>
      <c r="J21" s="559">
        <f t="shared" si="7"/>
        <v>6084.7716921689689</v>
      </c>
      <c r="K21" s="559">
        <f t="shared" si="8"/>
        <v>6084.7716921689689</v>
      </c>
      <c r="L21" s="559">
        <f t="shared" si="9"/>
        <v>6084.7716921689689</v>
      </c>
      <c r="M21" s="559">
        <f t="shared" si="10"/>
        <v>6084.7716921689689</v>
      </c>
      <c r="N21" s="559">
        <f t="shared" si="11"/>
        <v>6084.7716921689689</v>
      </c>
      <c r="O21" s="560">
        <f t="shared" si="12"/>
        <v>73017.260306027645</v>
      </c>
      <c r="P21" s="561"/>
    </row>
    <row r="22" spans="1:16" x14ac:dyDescent="0.25">
      <c r="A22" s="557" t="s">
        <v>279</v>
      </c>
      <c r="B22" s="558">
        <v>6.4580166897572191</v>
      </c>
      <c r="C22" s="559">
        <f t="shared" si="0"/>
        <v>12905.648081425221</v>
      </c>
      <c r="D22" s="559">
        <f t="shared" si="1"/>
        <v>12905.648081425221</v>
      </c>
      <c r="E22" s="559">
        <f t="shared" si="2"/>
        <v>12905.648081425221</v>
      </c>
      <c r="F22" s="559">
        <f t="shared" si="3"/>
        <v>12905.648081425221</v>
      </c>
      <c r="G22" s="559">
        <f t="shared" si="4"/>
        <v>12905.648081425221</v>
      </c>
      <c r="H22" s="559">
        <f t="shared" si="5"/>
        <v>12905.648081425221</v>
      </c>
      <c r="I22" s="559">
        <f t="shared" si="6"/>
        <v>12905.648081425221</v>
      </c>
      <c r="J22" s="559">
        <f t="shared" si="7"/>
        <v>12905.648081425221</v>
      </c>
      <c r="K22" s="559">
        <f t="shared" si="8"/>
        <v>12905.648081425221</v>
      </c>
      <c r="L22" s="559">
        <f t="shared" si="9"/>
        <v>12905.648081425221</v>
      </c>
      <c r="M22" s="559">
        <f t="shared" si="10"/>
        <v>12905.648081425221</v>
      </c>
      <c r="N22" s="559">
        <f t="shared" si="11"/>
        <v>12905.648081425221</v>
      </c>
      <c r="O22" s="560">
        <f t="shared" si="12"/>
        <v>154867.77697710268</v>
      </c>
      <c r="P22" s="561"/>
    </row>
    <row r="23" spans="1:16" x14ac:dyDescent="0.25">
      <c r="A23" s="557" t="s">
        <v>159</v>
      </c>
      <c r="B23" s="558">
        <v>3.6739352083662298</v>
      </c>
      <c r="C23" s="559">
        <f t="shared" si="0"/>
        <v>7341.962269675505</v>
      </c>
      <c r="D23" s="559">
        <f t="shared" si="1"/>
        <v>7341.962269675505</v>
      </c>
      <c r="E23" s="559">
        <f t="shared" si="2"/>
        <v>7341.962269675505</v>
      </c>
      <c r="F23" s="559">
        <f t="shared" si="3"/>
        <v>7341.962269675505</v>
      </c>
      <c r="G23" s="559">
        <f t="shared" si="4"/>
        <v>7341.962269675505</v>
      </c>
      <c r="H23" s="559">
        <f t="shared" si="5"/>
        <v>7341.962269675505</v>
      </c>
      <c r="I23" s="559">
        <f t="shared" si="6"/>
        <v>7341.962269675505</v>
      </c>
      <c r="J23" s="559">
        <f t="shared" si="7"/>
        <v>7341.962269675505</v>
      </c>
      <c r="K23" s="559">
        <f t="shared" si="8"/>
        <v>7341.962269675505</v>
      </c>
      <c r="L23" s="559">
        <f t="shared" si="9"/>
        <v>7341.962269675505</v>
      </c>
      <c r="M23" s="559">
        <f t="shared" si="10"/>
        <v>7341.962269675505</v>
      </c>
      <c r="N23" s="559">
        <f t="shared" si="11"/>
        <v>7341.962269675505</v>
      </c>
      <c r="O23" s="560">
        <f t="shared" si="12"/>
        <v>88103.547236106067</v>
      </c>
      <c r="P23" s="561"/>
    </row>
    <row r="24" spans="1:16" x14ac:dyDescent="0.25">
      <c r="A24" s="557" t="s">
        <v>160</v>
      </c>
      <c r="B24" s="558">
        <v>21.979340072457017</v>
      </c>
      <c r="C24" s="559">
        <f t="shared" si="0"/>
        <v>43923.33461866001</v>
      </c>
      <c r="D24" s="559">
        <f t="shared" si="1"/>
        <v>43923.33461866001</v>
      </c>
      <c r="E24" s="559">
        <f t="shared" si="2"/>
        <v>43923.33461866001</v>
      </c>
      <c r="F24" s="559">
        <f t="shared" si="3"/>
        <v>43923.33461866001</v>
      </c>
      <c r="G24" s="559">
        <f t="shared" si="4"/>
        <v>43923.33461866001</v>
      </c>
      <c r="H24" s="559">
        <f t="shared" si="5"/>
        <v>43923.33461866001</v>
      </c>
      <c r="I24" s="559">
        <f t="shared" si="6"/>
        <v>43923.33461866001</v>
      </c>
      <c r="J24" s="559">
        <f t="shared" si="7"/>
        <v>43923.33461866001</v>
      </c>
      <c r="K24" s="559">
        <f t="shared" si="8"/>
        <v>43923.33461866001</v>
      </c>
      <c r="L24" s="559">
        <f t="shared" si="9"/>
        <v>43923.33461866001</v>
      </c>
      <c r="M24" s="559">
        <f t="shared" si="10"/>
        <v>43923.33461866001</v>
      </c>
      <c r="N24" s="559">
        <f t="shared" si="11"/>
        <v>43923.33461866001</v>
      </c>
      <c r="O24" s="560">
        <f t="shared" si="12"/>
        <v>527080.01542392024</v>
      </c>
      <c r="P24" s="561"/>
    </row>
    <row r="25" spans="1:16" x14ac:dyDescent="0.25">
      <c r="A25" s="557" t="s">
        <v>161</v>
      </c>
      <c r="B25" s="558">
        <v>3.7144952969630278</v>
      </c>
      <c r="C25" s="559">
        <f t="shared" si="0"/>
        <v>7423.0172211766258</v>
      </c>
      <c r="D25" s="559">
        <f t="shared" si="1"/>
        <v>7423.0172211766258</v>
      </c>
      <c r="E25" s="559">
        <f t="shared" si="2"/>
        <v>7423.0172211766258</v>
      </c>
      <c r="F25" s="559">
        <f t="shared" si="3"/>
        <v>7423.0172211766258</v>
      </c>
      <c r="G25" s="559">
        <f t="shared" si="4"/>
        <v>7423.0172211766258</v>
      </c>
      <c r="H25" s="559">
        <f t="shared" si="5"/>
        <v>7423.0172211766258</v>
      </c>
      <c r="I25" s="559">
        <f t="shared" si="6"/>
        <v>7423.0172211766258</v>
      </c>
      <c r="J25" s="559">
        <f t="shared" si="7"/>
        <v>7423.0172211766258</v>
      </c>
      <c r="K25" s="559">
        <f t="shared" si="8"/>
        <v>7423.0172211766258</v>
      </c>
      <c r="L25" s="559">
        <f t="shared" si="9"/>
        <v>7423.0172211766258</v>
      </c>
      <c r="M25" s="559">
        <f t="shared" si="10"/>
        <v>7423.0172211766258</v>
      </c>
      <c r="N25" s="559">
        <f t="shared" si="11"/>
        <v>7423.0172211766258</v>
      </c>
      <c r="O25" s="560">
        <f t="shared" si="12"/>
        <v>89076.20665411948</v>
      </c>
      <c r="P25" s="561"/>
    </row>
    <row r="26" spans="1:16" ht="15.75" thickBot="1" x14ac:dyDescent="0.3">
      <c r="A26" s="557" t="s">
        <v>162</v>
      </c>
      <c r="B26" s="558">
        <v>5.0303764450364916</v>
      </c>
      <c r="C26" s="559">
        <f t="shared" si="0"/>
        <v>10052.663415952307</v>
      </c>
      <c r="D26" s="559">
        <f t="shared" si="1"/>
        <v>10052.663415952307</v>
      </c>
      <c r="E26" s="559">
        <f t="shared" si="2"/>
        <v>10052.663415952307</v>
      </c>
      <c r="F26" s="559">
        <f t="shared" si="3"/>
        <v>10052.663415952307</v>
      </c>
      <c r="G26" s="559">
        <f t="shared" si="4"/>
        <v>10052.663415952307</v>
      </c>
      <c r="H26" s="559">
        <f t="shared" si="5"/>
        <v>10052.663415952307</v>
      </c>
      <c r="I26" s="559">
        <f t="shared" si="6"/>
        <v>10052.663415952307</v>
      </c>
      <c r="J26" s="559">
        <f t="shared" si="7"/>
        <v>10052.663415952307</v>
      </c>
      <c r="K26" s="559">
        <f t="shared" si="8"/>
        <v>10052.663415952307</v>
      </c>
      <c r="L26" s="559">
        <f t="shared" si="9"/>
        <v>10052.663415952307</v>
      </c>
      <c r="M26" s="559">
        <f t="shared" si="10"/>
        <v>10052.663415952307</v>
      </c>
      <c r="N26" s="559">
        <f t="shared" si="11"/>
        <v>10052.663415952307</v>
      </c>
      <c r="O26" s="560">
        <f t="shared" si="12"/>
        <v>120631.9609914277</v>
      </c>
      <c r="P26" s="561"/>
    </row>
    <row r="27" spans="1:16" ht="15.75" thickBot="1" x14ac:dyDescent="0.3">
      <c r="A27" s="562" t="s">
        <v>280</v>
      </c>
      <c r="B27" s="563">
        <f>SUM(B7:B26)</f>
        <v>100</v>
      </c>
      <c r="C27" s="564">
        <f>SUM(C7:C26)</f>
        <v>199839.18749999997</v>
      </c>
      <c r="D27" s="564">
        <f t="shared" ref="D27:N27" si="13">SUM(D7:D26)</f>
        <v>199839.18749999997</v>
      </c>
      <c r="E27" s="564">
        <f t="shared" si="13"/>
        <v>199839.18749999997</v>
      </c>
      <c r="F27" s="564">
        <f t="shared" si="13"/>
        <v>199839.18749999997</v>
      </c>
      <c r="G27" s="564">
        <f t="shared" si="13"/>
        <v>199839.18749999997</v>
      </c>
      <c r="H27" s="564">
        <f t="shared" si="13"/>
        <v>199839.18749999997</v>
      </c>
      <c r="I27" s="564">
        <f t="shared" si="13"/>
        <v>199839.18749999997</v>
      </c>
      <c r="J27" s="564">
        <f t="shared" si="13"/>
        <v>199839.18749999997</v>
      </c>
      <c r="K27" s="564">
        <f t="shared" si="13"/>
        <v>199839.18749999997</v>
      </c>
      <c r="L27" s="564">
        <f t="shared" si="13"/>
        <v>199839.18749999997</v>
      </c>
      <c r="M27" s="564">
        <f t="shared" si="13"/>
        <v>199839.18749999997</v>
      </c>
      <c r="N27" s="564">
        <f t="shared" si="13"/>
        <v>199839.18749999997</v>
      </c>
      <c r="O27" s="564">
        <f>SUM(C27:N27)</f>
        <v>2398070.2499999995</v>
      </c>
      <c r="P27" s="552"/>
    </row>
    <row r="28" spans="1:16" x14ac:dyDescent="0.25">
      <c r="A28" s="565"/>
      <c r="B28" s="565"/>
      <c r="C28" s="565"/>
      <c r="D28" s="565"/>
      <c r="E28" s="565"/>
      <c r="F28" s="565"/>
      <c r="G28" s="565"/>
      <c r="H28" s="565"/>
      <c r="I28" s="565"/>
      <c r="J28" s="565"/>
      <c r="K28" s="565"/>
      <c r="L28" s="565"/>
      <c r="M28" s="565"/>
      <c r="N28" s="565"/>
      <c r="O28" s="565"/>
      <c r="P28" s="552"/>
    </row>
    <row r="29" spans="1:16" x14ac:dyDescent="0.25">
      <c r="A29" s="566" t="s">
        <v>281</v>
      </c>
      <c r="B29" s="552"/>
      <c r="C29" s="552"/>
      <c r="D29" s="552"/>
      <c r="E29" s="552"/>
      <c r="F29" s="552"/>
      <c r="G29" s="552"/>
      <c r="H29" s="552"/>
      <c r="I29" s="552"/>
      <c r="J29" s="552"/>
      <c r="K29" s="552"/>
      <c r="L29" s="552"/>
      <c r="M29" s="552"/>
      <c r="N29" s="552"/>
      <c r="O29" s="561"/>
      <c r="P29" s="552"/>
    </row>
    <row r="30" spans="1:16" hidden="1" x14ac:dyDescent="0.25">
      <c r="A30" s="552"/>
      <c r="B30" s="552"/>
      <c r="C30" s="552"/>
      <c r="D30" s="552"/>
      <c r="E30" s="552"/>
      <c r="F30" s="552"/>
      <c r="G30" s="552"/>
      <c r="H30" s="552"/>
      <c r="I30" s="552"/>
      <c r="J30" s="552"/>
      <c r="K30" s="552"/>
      <c r="L30" s="552"/>
      <c r="M30" s="552"/>
      <c r="N30" s="552"/>
      <c r="O30" s="552"/>
      <c r="P30" s="552"/>
    </row>
    <row r="31" spans="1:16" hidden="1" x14ac:dyDescent="0.25">
      <c r="A31" s="552"/>
      <c r="B31" s="552"/>
      <c r="C31" s="552"/>
      <c r="D31" s="552"/>
      <c r="E31" s="552"/>
      <c r="F31" s="552"/>
      <c r="G31" s="552"/>
      <c r="H31" s="552"/>
      <c r="I31" s="552"/>
      <c r="J31" s="552"/>
      <c r="K31" s="552"/>
      <c r="L31" s="552"/>
      <c r="M31" s="552"/>
      <c r="N31" s="552"/>
      <c r="O31" s="552"/>
      <c r="P31" s="552"/>
    </row>
    <row r="32" spans="1:16" hidden="1" x14ac:dyDescent="0.25">
      <c r="A32" s="552"/>
      <c r="B32" s="552"/>
      <c r="C32" s="561">
        <v>199839.18749999997</v>
      </c>
      <c r="D32" s="561">
        <v>199839.18749999997</v>
      </c>
      <c r="E32" s="561">
        <v>199839.18749999997</v>
      </c>
      <c r="F32" s="561">
        <v>199839.18749999997</v>
      </c>
      <c r="G32" s="561">
        <v>199839.18749999997</v>
      </c>
      <c r="H32" s="561">
        <v>199839.18749999997</v>
      </c>
      <c r="I32" s="561">
        <v>199839.18749999997</v>
      </c>
      <c r="J32" s="561">
        <v>199839.18749999997</v>
      </c>
      <c r="K32" s="561">
        <v>199839.18749999997</v>
      </c>
      <c r="L32" s="561">
        <v>199839.18749999997</v>
      </c>
      <c r="M32" s="561">
        <v>199839.18749999997</v>
      </c>
      <c r="N32" s="561">
        <v>199839.18749999997</v>
      </c>
      <c r="O32" s="561">
        <f>SUM(C32:N32)</f>
        <v>2398070.2499999995</v>
      </c>
      <c r="P32" s="552"/>
    </row>
    <row r="33" spans="15:15" hidden="1" x14ac:dyDescent="0.25">
      <c r="O33" s="552"/>
    </row>
    <row r="34" spans="15:15" hidden="1" x14ac:dyDescent="0.25">
      <c r="O34" s="561">
        <f>O32-O27</f>
        <v>0</v>
      </c>
    </row>
    <row r="35" spans="15:15" hidden="1" x14ac:dyDescent="0.25">
      <c r="O35" s="552"/>
    </row>
    <row r="36" spans="15:15" x14ac:dyDescent="0.25">
      <c r="O36" s="552"/>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O31"/>
  <sheetViews>
    <sheetView workbookViewId="0">
      <selection activeCell="I40" sqref="I40"/>
    </sheetView>
  </sheetViews>
  <sheetFormatPr baseColWidth="10" defaultRowHeight="12.75" x14ac:dyDescent="0.2"/>
  <cols>
    <col min="1" max="1" width="16.5703125" style="552" customWidth="1"/>
    <col min="2" max="2" width="9.28515625" style="552" bestFit="1" customWidth="1"/>
    <col min="3" max="14" width="9.7109375" style="552" customWidth="1"/>
    <col min="15" max="15" width="10.85546875"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311</v>
      </c>
      <c r="B4" s="1215"/>
      <c r="C4" s="1215"/>
      <c r="D4" s="1215"/>
      <c r="E4" s="1215"/>
      <c r="F4" s="1215"/>
      <c r="G4" s="1215"/>
      <c r="H4" s="1215"/>
      <c r="I4" s="1215"/>
      <c r="J4" s="1215"/>
      <c r="K4" s="1215"/>
      <c r="L4" s="1215"/>
      <c r="M4" s="1215"/>
      <c r="N4" s="1215"/>
      <c r="O4" s="1215"/>
    </row>
    <row r="5" spans="1:15" ht="13.5" thickBot="1" x14ac:dyDescent="0.25"/>
    <row r="6" spans="1:15" ht="34.5" thickBot="1" x14ac:dyDescent="0.25">
      <c r="A6" s="553" t="s">
        <v>305</v>
      </c>
      <c r="B6" s="555" t="s">
        <v>382</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83" t="e">
        <f>#REF!</f>
        <v>#REF!</v>
      </c>
      <c r="C7" s="584" t="e">
        <f>$C$27*B7/100</f>
        <v>#REF!</v>
      </c>
      <c r="D7" s="585" t="e">
        <f>$D$27*B7/100</f>
        <v>#REF!</v>
      </c>
      <c r="E7" s="584" t="e">
        <f>$E$27*B7/100</f>
        <v>#REF!</v>
      </c>
      <c r="F7" s="585" t="e">
        <f>$F$27*B7/100</f>
        <v>#REF!</v>
      </c>
      <c r="G7" s="584" t="e">
        <f>$G$27*B7/100</f>
        <v>#REF!</v>
      </c>
      <c r="H7" s="584" t="e">
        <f>$H$27*B7/100</f>
        <v>#REF!</v>
      </c>
      <c r="I7" s="586" t="e">
        <f>$I$27*B7/100</f>
        <v>#REF!</v>
      </c>
      <c r="J7" s="585" t="e">
        <f>$J$27*B7/100</f>
        <v>#REF!</v>
      </c>
      <c r="K7" s="584" t="e">
        <f>$K$27*B7/100</f>
        <v>#REF!</v>
      </c>
      <c r="L7" s="585" t="e">
        <f>$L$27*B7/100</f>
        <v>#REF!</v>
      </c>
      <c r="M7" s="584" t="e">
        <f>$M$27*B7/100</f>
        <v>#REF!</v>
      </c>
      <c r="N7" s="584" t="e">
        <f>$N$27*B7/100</f>
        <v>#REF!</v>
      </c>
      <c r="O7" s="587" t="e">
        <f>SUM(C7:N7)</f>
        <v>#REF!</v>
      </c>
    </row>
    <row r="8" spans="1:15" x14ac:dyDescent="0.2">
      <c r="A8" s="557" t="s">
        <v>144</v>
      </c>
      <c r="B8" s="588" t="e">
        <f>#REF!</f>
        <v>#REF!</v>
      </c>
      <c r="C8" s="584" t="e">
        <f t="shared" ref="C8:C26" si="0">$C$27*B8/100</f>
        <v>#REF!</v>
      </c>
      <c r="D8" s="585" t="e">
        <f t="shared" ref="D8:D26" si="1">$D$27*B8/100</f>
        <v>#REF!</v>
      </c>
      <c r="E8" s="584" t="e">
        <f t="shared" ref="E8:E26" si="2">$E$27*B8/100</f>
        <v>#REF!</v>
      </c>
      <c r="F8" s="585" t="e">
        <f t="shared" ref="F8:F26" si="3">$F$27*B8/100</f>
        <v>#REF!</v>
      </c>
      <c r="G8" s="584" t="e">
        <f t="shared" ref="G8:G26" si="4">$G$27*B8/100</f>
        <v>#REF!</v>
      </c>
      <c r="H8" s="584" t="e">
        <f t="shared" ref="H8:H26" si="5">$H$27*B8/100</f>
        <v>#REF!</v>
      </c>
      <c r="I8" s="584" t="e">
        <f t="shared" ref="I8:I26" si="6">$I$27*B8/100</f>
        <v>#REF!</v>
      </c>
      <c r="J8" s="585" t="e">
        <f t="shared" ref="J8:J26" si="7">$J$27*B8/100</f>
        <v>#REF!</v>
      </c>
      <c r="K8" s="584" t="e">
        <f t="shared" ref="K8:K26" si="8">$K$27*B8/100</f>
        <v>#REF!</v>
      </c>
      <c r="L8" s="585" t="e">
        <f t="shared" ref="L8:L26" si="9">$L$27*B8/100</f>
        <v>#REF!</v>
      </c>
      <c r="M8" s="584" t="e">
        <f t="shared" ref="M8:M26" si="10">$M$27*B8/100</f>
        <v>#REF!</v>
      </c>
      <c r="N8" s="584" t="e">
        <f t="shared" ref="N8:N26" si="11">$N$27*B8/100</f>
        <v>#REF!</v>
      </c>
      <c r="O8" s="587" t="e">
        <f t="shared" ref="O8:O26" si="12">SUM(C8:N8)</f>
        <v>#REF!</v>
      </c>
    </row>
    <row r="9" spans="1:15" x14ac:dyDescent="0.2">
      <c r="A9" s="557" t="s">
        <v>145</v>
      </c>
      <c r="B9" s="588" t="e">
        <f>#REF!</f>
        <v>#REF!</v>
      </c>
      <c r="C9" s="584" t="e">
        <f t="shared" si="0"/>
        <v>#REF!</v>
      </c>
      <c r="D9" s="585" t="e">
        <f t="shared" si="1"/>
        <v>#REF!</v>
      </c>
      <c r="E9" s="584" t="e">
        <f t="shared" si="2"/>
        <v>#REF!</v>
      </c>
      <c r="F9" s="585" t="e">
        <f t="shared" si="3"/>
        <v>#REF!</v>
      </c>
      <c r="G9" s="584" t="e">
        <f t="shared" si="4"/>
        <v>#REF!</v>
      </c>
      <c r="H9" s="584" t="e">
        <f t="shared" si="5"/>
        <v>#REF!</v>
      </c>
      <c r="I9" s="584" t="e">
        <f t="shared" si="6"/>
        <v>#REF!</v>
      </c>
      <c r="J9" s="585" t="e">
        <f t="shared" si="7"/>
        <v>#REF!</v>
      </c>
      <c r="K9" s="584" t="e">
        <f t="shared" si="8"/>
        <v>#REF!</v>
      </c>
      <c r="L9" s="585" t="e">
        <f t="shared" si="9"/>
        <v>#REF!</v>
      </c>
      <c r="M9" s="584" t="e">
        <f t="shared" si="10"/>
        <v>#REF!</v>
      </c>
      <c r="N9" s="584" t="e">
        <f t="shared" si="11"/>
        <v>#REF!</v>
      </c>
      <c r="O9" s="587" t="e">
        <f t="shared" si="12"/>
        <v>#REF!</v>
      </c>
    </row>
    <row r="10" spans="1:15" x14ac:dyDescent="0.2">
      <c r="A10" s="557" t="s">
        <v>275</v>
      </c>
      <c r="B10" s="588" t="e">
        <f>#REF!</f>
        <v>#REF!</v>
      </c>
      <c r="C10" s="584" t="e">
        <f t="shared" si="0"/>
        <v>#REF!</v>
      </c>
      <c r="D10" s="585" t="e">
        <f t="shared" si="1"/>
        <v>#REF!</v>
      </c>
      <c r="E10" s="584" t="e">
        <f t="shared" si="2"/>
        <v>#REF!</v>
      </c>
      <c r="F10" s="585" t="e">
        <f t="shared" si="3"/>
        <v>#REF!</v>
      </c>
      <c r="G10" s="584" t="e">
        <f t="shared" si="4"/>
        <v>#REF!</v>
      </c>
      <c r="H10" s="584" t="e">
        <f t="shared" si="5"/>
        <v>#REF!</v>
      </c>
      <c r="I10" s="584" t="e">
        <f t="shared" si="6"/>
        <v>#REF!</v>
      </c>
      <c r="J10" s="585" t="e">
        <f t="shared" si="7"/>
        <v>#REF!</v>
      </c>
      <c r="K10" s="584" t="e">
        <f t="shared" si="8"/>
        <v>#REF!</v>
      </c>
      <c r="L10" s="585" t="e">
        <f t="shared" si="9"/>
        <v>#REF!</v>
      </c>
      <c r="M10" s="584" t="e">
        <f t="shared" si="10"/>
        <v>#REF!</v>
      </c>
      <c r="N10" s="584" t="e">
        <f t="shared" si="11"/>
        <v>#REF!</v>
      </c>
      <c r="O10" s="587" t="e">
        <f t="shared" si="12"/>
        <v>#REF!</v>
      </c>
    </row>
    <row r="11" spans="1:15" x14ac:dyDescent="0.2">
      <c r="A11" s="557" t="s">
        <v>147</v>
      </c>
      <c r="B11" s="588" t="e">
        <f>#REF!</f>
        <v>#REF!</v>
      </c>
      <c r="C11" s="584" t="e">
        <f t="shared" si="0"/>
        <v>#REF!</v>
      </c>
      <c r="D11" s="585" t="e">
        <f t="shared" si="1"/>
        <v>#REF!</v>
      </c>
      <c r="E11" s="584" t="e">
        <f t="shared" si="2"/>
        <v>#REF!</v>
      </c>
      <c r="F11" s="585" t="e">
        <f t="shared" si="3"/>
        <v>#REF!</v>
      </c>
      <c r="G11" s="584" t="e">
        <f t="shared" si="4"/>
        <v>#REF!</v>
      </c>
      <c r="H11" s="584" t="e">
        <f t="shared" si="5"/>
        <v>#REF!</v>
      </c>
      <c r="I11" s="584" t="e">
        <f t="shared" si="6"/>
        <v>#REF!</v>
      </c>
      <c r="J11" s="585" t="e">
        <f t="shared" si="7"/>
        <v>#REF!</v>
      </c>
      <c r="K11" s="584" t="e">
        <f t="shared" si="8"/>
        <v>#REF!</v>
      </c>
      <c r="L11" s="585" t="e">
        <f t="shared" si="9"/>
        <v>#REF!</v>
      </c>
      <c r="M11" s="584" t="e">
        <f t="shared" si="10"/>
        <v>#REF!</v>
      </c>
      <c r="N11" s="584" t="e">
        <f t="shared" si="11"/>
        <v>#REF!</v>
      </c>
      <c r="O11" s="587" t="e">
        <f t="shared" si="12"/>
        <v>#REF!</v>
      </c>
    </row>
    <row r="12" spans="1:15" x14ac:dyDescent="0.2">
      <c r="A12" s="557" t="s">
        <v>276</v>
      </c>
      <c r="B12" s="588" t="e">
        <f>#REF!</f>
        <v>#REF!</v>
      </c>
      <c r="C12" s="584" t="e">
        <f t="shared" si="0"/>
        <v>#REF!</v>
      </c>
      <c r="D12" s="585" t="e">
        <f t="shared" si="1"/>
        <v>#REF!</v>
      </c>
      <c r="E12" s="584" t="e">
        <f t="shared" si="2"/>
        <v>#REF!</v>
      </c>
      <c r="F12" s="585" t="e">
        <f t="shared" si="3"/>
        <v>#REF!</v>
      </c>
      <c r="G12" s="584" t="e">
        <f t="shared" si="4"/>
        <v>#REF!</v>
      </c>
      <c r="H12" s="584" t="e">
        <f t="shared" si="5"/>
        <v>#REF!</v>
      </c>
      <c r="I12" s="584" t="e">
        <f t="shared" si="6"/>
        <v>#REF!</v>
      </c>
      <c r="J12" s="585" t="e">
        <f t="shared" si="7"/>
        <v>#REF!</v>
      </c>
      <c r="K12" s="584" t="e">
        <f t="shared" si="8"/>
        <v>#REF!</v>
      </c>
      <c r="L12" s="585" t="e">
        <f t="shared" si="9"/>
        <v>#REF!</v>
      </c>
      <c r="M12" s="584" t="e">
        <f t="shared" si="10"/>
        <v>#REF!</v>
      </c>
      <c r="N12" s="584" t="e">
        <f t="shared" si="11"/>
        <v>#REF!</v>
      </c>
      <c r="O12" s="587" t="e">
        <f t="shared" si="12"/>
        <v>#REF!</v>
      </c>
    </row>
    <row r="13" spans="1:15" x14ac:dyDescent="0.2">
      <c r="A13" s="557" t="s">
        <v>149</v>
      </c>
      <c r="B13" s="588" t="e">
        <f>#REF!</f>
        <v>#REF!</v>
      </c>
      <c r="C13" s="584" t="e">
        <f t="shared" si="0"/>
        <v>#REF!</v>
      </c>
      <c r="D13" s="585" t="e">
        <f t="shared" si="1"/>
        <v>#REF!</v>
      </c>
      <c r="E13" s="584" t="e">
        <f t="shared" si="2"/>
        <v>#REF!</v>
      </c>
      <c r="F13" s="585" t="e">
        <f t="shared" si="3"/>
        <v>#REF!</v>
      </c>
      <c r="G13" s="584" t="e">
        <f t="shared" si="4"/>
        <v>#REF!</v>
      </c>
      <c r="H13" s="584" t="e">
        <f t="shared" si="5"/>
        <v>#REF!</v>
      </c>
      <c r="I13" s="584" t="e">
        <f t="shared" si="6"/>
        <v>#REF!</v>
      </c>
      <c r="J13" s="585" t="e">
        <f t="shared" si="7"/>
        <v>#REF!</v>
      </c>
      <c r="K13" s="584" t="e">
        <f t="shared" si="8"/>
        <v>#REF!</v>
      </c>
      <c r="L13" s="585" t="e">
        <f t="shared" si="9"/>
        <v>#REF!</v>
      </c>
      <c r="M13" s="584" t="e">
        <f t="shared" si="10"/>
        <v>#REF!</v>
      </c>
      <c r="N13" s="584" t="e">
        <f t="shared" si="11"/>
        <v>#REF!</v>
      </c>
      <c r="O13" s="587" t="e">
        <f t="shared" si="12"/>
        <v>#REF!</v>
      </c>
    </row>
    <row r="14" spans="1:15" x14ac:dyDescent="0.2">
      <c r="A14" s="557" t="s">
        <v>150</v>
      </c>
      <c r="B14" s="588" t="e">
        <f>#REF!</f>
        <v>#REF!</v>
      </c>
      <c r="C14" s="584" t="e">
        <f t="shared" si="0"/>
        <v>#REF!</v>
      </c>
      <c r="D14" s="585" t="e">
        <f t="shared" si="1"/>
        <v>#REF!</v>
      </c>
      <c r="E14" s="584" t="e">
        <f t="shared" si="2"/>
        <v>#REF!</v>
      </c>
      <c r="F14" s="585" t="e">
        <f t="shared" si="3"/>
        <v>#REF!</v>
      </c>
      <c r="G14" s="584" t="e">
        <f t="shared" si="4"/>
        <v>#REF!</v>
      </c>
      <c r="H14" s="584" t="e">
        <f t="shared" si="5"/>
        <v>#REF!</v>
      </c>
      <c r="I14" s="584" t="e">
        <f t="shared" si="6"/>
        <v>#REF!</v>
      </c>
      <c r="J14" s="585" t="e">
        <f t="shared" si="7"/>
        <v>#REF!</v>
      </c>
      <c r="K14" s="584" t="e">
        <f t="shared" si="8"/>
        <v>#REF!</v>
      </c>
      <c r="L14" s="585" t="e">
        <f t="shared" si="9"/>
        <v>#REF!</v>
      </c>
      <c r="M14" s="584" t="e">
        <f t="shared" si="10"/>
        <v>#REF!</v>
      </c>
      <c r="N14" s="584" t="e">
        <f t="shared" si="11"/>
        <v>#REF!</v>
      </c>
      <c r="O14" s="587" t="e">
        <f t="shared" si="12"/>
        <v>#REF!</v>
      </c>
    </row>
    <row r="15" spans="1:15" x14ac:dyDescent="0.2">
      <c r="A15" s="557" t="s">
        <v>151</v>
      </c>
      <c r="B15" s="588" t="e">
        <f>#REF!</f>
        <v>#REF!</v>
      </c>
      <c r="C15" s="584" t="e">
        <f t="shared" si="0"/>
        <v>#REF!</v>
      </c>
      <c r="D15" s="585" t="e">
        <f t="shared" si="1"/>
        <v>#REF!</v>
      </c>
      <c r="E15" s="584" t="e">
        <f t="shared" si="2"/>
        <v>#REF!</v>
      </c>
      <c r="F15" s="585" t="e">
        <f t="shared" si="3"/>
        <v>#REF!</v>
      </c>
      <c r="G15" s="584" t="e">
        <f t="shared" si="4"/>
        <v>#REF!</v>
      </c>
      <c r="H15" s="584" t="e">
        <f t="shared" si="5"/>
        <v>#REF!</v>
      </c>
      <c r="I15" s="584" t="e">
        <f t="shared" si="6"/>
        <v>#REF!</v>
      </c>
      <c r="J15" s="585" t="e">
        <f t="shared" si="7"/>
        <v>#REF!</v>
      </c>
      <c r="K15" s="584" t="e">
        <f t="shared" si="8"/>
        <v>#REF!</v>
      </c>
      <c r="L15" s="585" t="e">
        <f t="shared" si="9"/>
        <v>#REF!</v>
      </c>
      <c r="M15" s="584" t="e">
        <f t="shared" si="10"/>
        <v>#REF!</v>
      </c>
      <c r="N15" s="584" t="e">
        <f t="shared" si="11"/>
        <v>#REF!</v>
      </c>
      <c r="O15" s="587" t="e">
        <f t="shared" si="12"/>
        <v>#REF!</v>
      </c>
    </row>
    <row r="16" spans="1:15" x14ac:dyDescent="0.2">
      <c r="A16" s="557" t="s">
        <v>152</v>
      </c>
      <c r="B16" s="588" t="e">
        <f>#REF!</f>
        <v>#REF!</v>
      </c>
      <c r="C16" s="584" t="e">
        <f t="shared" si="0"/>
        <v>#REF!</v>
      </c>
      <c r="D16" s="585" t="e">
        <f t="shared" si="1"/>
        <v>#REF!</v>
      </c>
      <c r="E16" s="584" t="e">
        <f t="shared" si="2"/>
        <v>#REF!</v>
      </c>
      <c r="F16" s="585" t="e">
        <f t="shared" si="3"/>
        <v>#REF!</v>
      </c>
      <c r="G16" s="584" t="e">
        <f t="shared" si="4"/>
        <v>#REF!</v>
      </c>
      <c r="H16" s="584" t="e">
        <f t="shared" si="5"/>
        <v>#REF!</v>
      </c>
      <c r="I16" s="584" t="e">
        <f t="shared" si="6"/>
        <v>#REF!</v>
      </c>
      <c r="J16" s="585" t="e">
        <f t="shared" si="7"/>
        <v>#REF!</v>
      </c>
      <c r="K16" s="584" t="e">
        <f t="shared" si="8"/>
        <v>#REF!</v>
      </c>
      <c r="L16" s="585" t="e">
        <f t="shared" si="9"/>
        <v>#REF!</v>
      </c>
      <c r="M16" s="584" t="e">
        <f t="shared" si="10"/>
        <v>#REF!</v>
      </c>
      <c r="N16" s="584" t="e">
        <f t="shared" si="11"/>
        <v>#REF!</v>
      </c>
      <c r="O16" s="587" t="e">
        <f t="shared" si="12"/>
        <v>#REF!</v>
      </c>
    </row>
    <row r="17" spans="1:15" x14ac:dyDescent="0.2">
      <c r="A17" s="557" t="s">
        <v>153</v>
      </c>
      <c r="B17" s="588" t="e">
        <f>#REF!</f>
        <v>#REF!</v>
      </c>
      <c r="C17" s="584" t="e">
        <f t="shared" si="0"/>
        <v>#REF!</v>
      </c>
      <c r="D17" s="585" t="e">
        <f t="shared" si="1"/>
        <v>#REF!</v>
      </c>
      <c r="E17" s="584" t="e">
        <f t="shared" si="2"/>
        <v>#REF!</v>
      </c>
      <c r="F17" s="585" t="e">
        <f t="shared" si="3"/>
        <v>#REF!</v>
      </c>
      <c r="G17" s="584" t="e">
        <f t="shared" si="4"/>
        <v>#REF!</v>
      </c>
      <c r="H17" s="584" t="e">
        <f t="shared" si="5"/>
        <v>#REF!</v>
      </c>
      <c r="I17" s="584" t="e">
        <f t="shared" si="6"/>
        <v>#REF!</v>
      </c>
      <c r="J17" s="585" t="e">
        <f t="shared" si="7"/>
        <v>#REF!</v>
      </c>
      <c r="K17" s="584" t="e">
        <f t="shared" si="8"/>
        <v>#REF!</v>
      </c>
      <c r="L17" s="585" t="e">
        <f t="shared" si="9"/>
        <v>#REF!</v>
      </c>
      <c r="M17" s="584" t="e">
        <f t="shared" si="10"/>
        <v>#REF!</v>
      </c>
      <c r="N17" s="584" t="e">
        <f t="shared" si="11"/>
        <v>#REF!</v>
      </c>
      <c r="O17" s="587" t="e">
        <f t="shared" si="12"/>
        <v>#REF!</v>
      </c>
    </row>
    <row r="18" spans="1:15" x14ac:dyDescent="0.2">
      <c r="A18" s="557" t="s">
        <v>154</v>
      </c>
      <c r="B18" s="588" t="e">
        <f>#REF!</f>
        <v>#REF!</v>
      </c>
      <c r="C18" s="584" t="e">
        <f t="shared" si="0"/>
        <v>#REF!</v>
      </c>
      <c r="D18" s="585" t="e">
        <f t="shared" si="1"/>
        <v>#REF!</v>
      </c>
      <c r="E18" s="584" t="e">
        <f t="shared" si="2"/>
        <v>#REF!</v>
      </c>
      <c r="F18" s="585" t="e">
        <f t="shared" si="3"/>
        <v>#REF!</v>
      </c>
      <c r="G18" s="584" t="e">
        <f t="shared" si="4"/>
        <v>#REF!</v>
      </c>
      <c r="H18" s="584" t="e">
        <f t="shared" si="5"/>
        <v>#REF!</v>
      </c>
      <c r="I18" s="584" t="e">
        <f t="shared" si="6"/>
        <v>#REF!</v>
      </c>
      <c r="J18" s="585" t="e">
        <f t="shared" si="7"/>
        <v>#REF!</v>
      </c>
      <c r="K18" s="584" t="e">
        <f t="shared" si="8"/>
        <v>#REF!</v>
      </c>
      <c r="L18" s="585" t="e">
        <f t="shared" si="9"/>
        <v>#REF!</v>
      </c>
      <c r="M18" s="584" t="e">
        <f t="shared" si="10"/>
        <v>#REF!</v>
      </c>
      <c r="N18" s="584" t="e">
        <f t="shared" si="11"/>
        <v>#REF!</v>
      </c>
      <c r="O18" s="587" t="e">
        <f t="shared" si="12"/>
        <v>#REF!</v>
      </c>
    </row>
    <row r="19" spans="1:15" x14ac:dyDescent="0.2">
      <c r="A19" s="557" t="s">
        <v>155</v>
      </c>
      <c r="B19" s="588" t="e">
        <f>#REF!</f>
        <v>#REF!</v>
      </c>
      <c r="C19" s="584" t="e">
        <f t="shared" si="0"/>
        <v>#REF!</v>
      </c>
      <c r="D19" s="585" t="e">
        <f t="shared" si="1"/>
        <v>#REF!</v>
      </c>
      <c r="E19" s="584" t="e">
        <f t="shared" si="2"/>
        <v>#REF!</v>
      </c>
      <c r="F19" s="585" t="e">
        <f t="shared" si="3"/>
        <v>#REF!</v>
      </c>
      <c r="G19" s="584" t="e">
        <f t="shared" si="4"/>
        <v>#REF!</v>
      </c>
      <c r="H19" s="584" t="e">
        <f t="shared" si="5"/>
        <v>#REF!</v>
      </c>
      <c r="I19" s="584" t="e">
        <f t="shared" si="6"/>
        <v>#REF!</v>
      </c>
      <c r="J19" s="585" t="e">
        <f t="shared" si="7"/>
        <v>#REF!</v>
      </c>
      <c r="K19" s="584" t="e">
        <f t="shared" si="8"/>
        <v>#REF!</v>
      </c>
      <c r="L19" s="585" t="e">
        <f t="shared" si="9"/>
        <v>#REF!</v>
      </c>
      <c r="M19" s="584" t="e">
        <f t="shared" si="10"/>
        <v>#REF!</v>
      </c>
      <c r="N19" s="584" t="e">
        <f t="shared" si="11"/>
        <v>#REF!</v>
      </c>
      <c r="O19" s="587" t="e">
        <f t="shared" si="12"/>
        <v>#REF!</v>
      </c>
    </row>
    <row r="20" spans="1:15" x14ac:dyDescent="0.2">
      <c r="A20" s="557" t="s">
        <v>277</v>
      </c>
      <c r="B20" s="588" t="e">
        <f>#REF!</f>
        <v>#REF!</v>
      </c>
      <c r="C20" s="584" t="e">
        <f t="shared" si="0"/>
        <v>#REF!</v>
      </c>
      <c r="D20" s="585" t="e">
        <f t="shared" si="1"/>
        <v>#REF!</v>
      </c>
      <c r="E20" s="584" t="e">
        <f t="shared" si="2"/>
        <v>#REF!</v>
      </c>
      <c r="F20" s="585" t="e">
        <f t="shared" si="3"/>
        <v>#REF!</v>
      </c>
      <c r="G20" s="584" t="e">
        <f t="shared" si="4"/>
        <v>#REF!</v>
      </c>
      <c r="H20" s="584" t="e">
        <f t="shared" si="5"/>
        <v>#REF!</v>
      </c>
      <c r="I20" s="584" t="e">
        <f t="shared" si="6"/>
        <v>#REF!</v>
      </c>
      <c r="J20" s="585" t="e">
        <f t="shared" si="7"/>
        <v>#REF!</v>
      </c>
      <c r="K20" s="584" t="e">
        <f t="shared" si="8"/>
        <v>#REF!</v>
      </c>
      <c r="L20" s="585" t="e">
        <f t="shared" si="9"/>
        <v>#REF!</v>
      </c>
      <c r="M20" s="584" t="e">
        <f t="shared" si="10"/>
        <v>#REF!</v>
      </c>
      <c r="N20" s="584" t="e">
        <f t="shared" si="11"/>
        <v>#REF!</v>
      </c>
      <c r="O20" s="587" t="e">
        <f t="shared" si="12"/>
        <v>#REF!</v>
      </c>
    </row>
    <row r="21" spans="1:15" x14ac:dyDescent="0.2">
      <c r="A21" s="557" t="s">
        <v>278</v>
      </c>
      <c r="B21" s="588" t="e">
        <f>#REF!</f>
        <v>#REF!</v>
      </c>
      <c r="C21" s="584" t="e">
        <f t="shared" si="0"/>
        <v>#REF!</v>
      </c>
      <c r="D21" s="585" t="e">
        <f t="shared" si="1"/>
        <v>#REF!</v>
      </c>
      <c r="E21" s="584" t="e">
        <f t="shared" si="2"/>
        <v>#REF!</v>
      </c>
      <c r="F21" s="585" t="e">
        <f t="shared" si="3"/>
        <v>#REF!</v>
      </c>
      <c r="G21" s="584" t="e">
        <f t="shared" si="4"/>
        <v>#REF!</v>
      </c>
      <c r="H21" s="584" t="e">
        <f t="shared" si="5"/>
        <v>#REF!</v>
      </c>
      <c r="I21" s="584" t="e">
        <f t="shared" si="6"/>
        <v>#REF!</v>
      </c>
      <c r="J21" s="585" t="e">
        <f t="shared" si="7"/>
        <v>#REF!</v>
      </c>
      <c r="K21" s="584" t="e">
        <f t="shared" si="8"/>
        <v>#REF!</v>
      </c>
      <c r="L21" s="585" t="e">
        <f t="shared" si="9"/>
        <v>#REF!</v>
      </c>
      <c r="M21" s="584" t="e">
        <f t="shared" si="10"/>
        <v>#REF!</v>
      </c>
      <c r="N21" s="584" t="e">
        <f t="shared" si="11"/>
        <v>#REF!</v>
      </c>
      <c r="O21" s="587" t="e">
        <f t="shared" si="12"/>
        <v>#REF!</v>
      </c>
    </row>
    <row r="22" spans="1:15" x14ac:dyDescent="0.2">
      <c r="A22" s="557" t="s">
        <v>279</v>
      </c>
      <c r="B22" s="588" t="e">
        <f>#REF!</f>
        <v>#REF!</v>
      </c>
      <c r="C22" s="584" t="e">
        <f t="shared" si="0"/>
        <v>#REF!</v>
      </c>
      <c r="D22" s="585" t="e">
        <f t="shared" si="1"/>
        <v>#REF!</v>
      </c>
      <c r="E22" s="584" t="e">
        <f t="shared" si="2"/>
        <v>#REF!</v>
      </c>
      <c r="F22" s="585" t="e">
        <f t="shared" si="3"/>
        <v>#REF!</v>
      </c>
      <c r="G22" s="584" t="e">
        <f t="shared" si="4"/>
        <v>#REF!</v>
      </c>
      <c r="H22" s="584" t="e">
        <f t="shared" si="5"/>
        <v>#REF!</v>
      </c>
      <c r="I22" s="584" t="e">
        <f t="shared" si="6"/>
        <v>#REF!</v>
      </c>
      <c r="J22" s="585" t="e">
        <f t="shared" si="7"/>
        <v>#REF!</v>
      </c>
      <c r="K22" s="584" t="e">
        <f t="shared" si="8"/>
        <v>#REF!</v>
      </c>
      <c r="L22" s="585" t="e">
        <f t="shared" si="9"/>
        <v>#REF!</v>
      </c>
      <c r="M22" s="584" t="e">
        <f t="shared" si="10"/>
        <v>#REF!</v>
      </c>
      <c r="N22" s="584" t="e">
        <f t="shared" si="11"/>
        <v>#REF!</v>
      </c>
      <c r="O22" s="587" t="e">
        <f t="shared" si="12"/>
        <v>#REF!</v>
      </c>
    </row>
    <row r="23" spans="1:15" x14ac:dyDescent="0.2">
      <c r="A23" s="557" t="s">
        <v>159</v>
      </c>
      <c r="B23" s="588" t="e">
        <f>#REF!</f>
        <v>#REF!</v>
      </c>
      <c r="C23" s="584" t="e">
        <f t="shared" si="0"/>
        <v>#REF!</v>
      </c>
      <c r="D23" s="585" t="e">
        <f t="shared" si="1"/>
        <v>#REF!</v>
      </c>
      <c r="E23" s="584" t="e">
        <f t="shared" si="2"/>
        <v>#REF!</v>
      </c>
      <c r="F23" s="585" t="e">
        <f t="shared" si="3"/>
        <v>#REF!</v>
      </c>
      <c r="G23" s="584" t="e">
        <f t="shared" si="4"/>
        <v>#REF!</v>
      </c>
      <c r="H23" s="584" t="e">
        <f t="shared" si="5"/>
        <v>#REF!</v>
      </c>
      <c r="I23" s="584" t="e">
        <f t="shared" si="6"/>
        <v>#REF!</v>
      </c>
      <c r="J23" s="585" t="e">
        <f t="shared" si="7"/>
        <v>#REF!</v>
      </c>
      <c r="K23" s="584" t="e">
        <f t="shared" si="8"/>
        <v>#REF!</v>
      </c>
      <c r="L23" s="585" t="e">
        <f t="shared" si="9"/>
        <v>#REF!</v>
      </c>
      <c r="M23" s="584" t="e">
        <f t="shared" si="10"/>
        <v>#REF!</v>
      </c>
      <c r="N23" s="584" t="e">
        <f t="shared" si="11"/>
        <v>#REF!</v>
      </c>
      <c r="O23" s="587" t="e">
        <f t="shared" si="12"/>
        <v>#REF!</v>
      </c>
    </row>
    <row r="24" spans="1:15" x14ac:dyDescent="0.2">
      <c r="A24" s="557" t="s">
        <v>160</v>
      </c>
      <c r="B24" s="588" t="e">
        <f>#REF!</f>
        <v>#REF!</v>
      </c>
      <c r="C24" s="584" t="e">
        <f t="shared" si="0"/>
        <v>#REF!</v>
      </c>
      <c r="D24" s="585" t="e">
        <f t="shared" si="1"/>
        <v>#REF!</v>
      </c>
      <c r="E24" s="584" t="e">
        <f t="shared" si="2"/>
        <v>#REF!</v>
      </c>
      <c r="F24" s="585" t="e">
        <f t="shared" si="3"/>
        <v>#REF!</v>
      </c>
      <c r="G24" s="584" t="e">
        <f t="shared" si="4"/>
        <v>#REF!</v>
      </c>
      <c r="H24" s="584" t="e">
        <f t="shared" si="5"/>
        <v>#REF!</v>
      </c>
      <c r="I24" s="584" t="e">
        <f t="shared" si="6"/>
        <v>#REF!</v>
      </c>
      <c r="J24" s="585" t="e">
        <f t="shared" si="7"/>
        <v>#REF!</v>
      </c>
      <c r="K24" s="584" t="e">
        <f t="shared" si="8"/>
        <v>#REF!</v>
      </c>
      <c r="L24" s="585" t="e">
        <f t="shared" si="9"/>
        <v>#REF!</v>
      </c>
      <c r="M24" s="584" t="e">
        <f t="shared" si="10"/>
        <v>#REF!</v>
      </c>
      <c r="N24" s="584" t="e">
        <f t="shared" si="11"/>
        <v>#REF!</v>
      </c>
      <c r="O24" s="587" t="e">
        <f t="shared" si="12"/>
        <v>#REF!</v>
      </c>
    </row>
    <row r="25" spans="1:15" x14ac:dyDescent="0.2">
      <c r="A25" s="557" t="s">
        <v>161</v>
      </c>
      <c r="B25" s="588" t="e">
        <f>#REF!</f>
        <v>#REF!</v>
      </c>
      <c r="C25" s="584" t="e">
        <f t="shared" si="0"/>
        <v>#REF!</v>
      </c>
      <c r="D25" s="585" t="e">
        <f t="shared" si="1"/>
        <v>#REF!</v>
      </c>
      <c r="E25" s="584" t="e">
        <f t="shared" si="2"/>
        <v>#REF!</v>
      </c>
      <c r="F25" s="585" t="e">
        <f t="shared" si="3"/>
        <v>#REF!</v>
      </c>
      <c r="G25" s="584" t="e">
        <f t="shared" si="4"/>
        <v>#REF!</v>
      </c>
      <c r="H25" s="584" t="e">
        <f t="shared" si="5"/>
        <v>#REF!</v>
      </c>
      <c r="I25" s="584" t="e">
        <f t="shared" si="6"/>
        <v>#REF!</v>
      </c>
      <c r="J25" s="585" t="e">
        <f t="shared" si="7"/>
        <v>#REF!</v>
      </c>
      <c r="K25" s="584" t="e">
        <f t="shared" si="8"/>
        <v>#REF!</v>
      </c>
      <c r="L25" s="585" t="e">
        <f t="shared" si="9"/>
        <v>#REF!</v>
      </c>
      <c r="M25" s="584" t="e">
        <f t="shared" si="10"/>
        <v>#REF!</v>
      </c>
      <c r="N25" s="584" t="e">
        <f t="shared" si="11"/>
        <v>#REF!</v>
      </c>
      <c r="O25" s="587" t="e">
        <f t="shared" si="12"/>
        <v>#REF!</v>
      </c>
    </row>
    <row r="26" spans="1:15" ht="13.5" thickBot="1" x14ac:dyDescent="0.25">
      <c r="A26" s="557" t="s">
        <v>162</v>
      </c>
      <c r="B26" s="589" t="e">
        <f>#REF!</f>
        <v>#REF!</v>
      </c>
      <c r="C26" s="584" t="e">
        <f t="shared" si="0"/>
        <v>#REF!</v>
      </c>
      <c r="D26" s="585" t="e">
        <f t="shared" si="1"/>
        <v>#REF!</v>
      </c>
      <c r="E26" s="584" t="e">
        <f t="shared" si="2"/>
        <v>#REF!</v>
      </c>
      <c r="F26" s="585" t="e">
        <f t="shared" si="3"/>
        <v>#REF!</v>
      </c>
      <c r="G26" s="584" t="e">
        <f t="shared" si="4"/>
        <v>#REF!</v>
      </c>
      <c r="H26" s="584" t="e">
        <f t="shared" si="5"/>
        <v>#REF!</v>
      </c>
      <c r="I26" s="590" t="e">
        <f t="shared" si="6"/>
        <v>#REF!</v>
      </c>
      <c r="J26" s="585" t="e">
        <f t="shared" si="7"/>
        <v>#REF!</v>
      </c>
      <c r="K26" s="584" t="e">
        <f t="shared" si="8"/>
        <v>#REF!</v>
      </c>
      <c r="L26" s="585" t="e">
        <f t="shared" si="9"/>
        <v>#REF!</v>
      </c>
      <c r="M26" s="584" t="e">
        <f t="shared" si="10"/>
        <v>#REF!</v>
      </c>
      <c r="N26" s="584" t="e">
        <f t="shared" si="11"/>
        <v>#REF!</v>
      </c>
      <c r="O26" s="587" t="e">
        <f t="shared" si="12"/>
        <v>#REF!</v>
      </c>
    </row>
    <row r="27" spans="1:15" ht="13.5" thickBot="1" x14ac:dyDescent="0.25">
      <c r="A27" s="562" t="s">
        <v>280</v>
      </c>
      <c r="B27" s="591" t="e">
        <f>SUM(B7:B26)</f>
        <v>#REF!</v>
      </c>
      <c r="C27" s="592">
        <f>' FOCO ESTIMACION'!C31</f>
        <v>-5804455.2000000002</v>
      </c>
      <c r="D27" s="592">
        <f>' FOCO ESTIMACION'!D31</f>
        <v>-5840320.9900000002</v>
      </c>
      <c r="E27" s="592">
        <f>' FOCO ESTIMACION'!E31</f>
        <v>-6635846.9900000002</v>
      </c>
      <c r="F27" s="592">
        <f>' FOCO ESTIMACION'!F31</f>
        <v>-6366753.5199999996</v>
      </c>
      <c r="G27" s="592">
        <f>' FOCO ESTIMACION'!G31</f>
        <v>-6795245.21</v>
      </c>
      <c r="H27" s="592">
        <f>' FOCO ESTIMACION'!H31</f>
        <v>-6528484.1100000003</v>
      </c>
      <c r="I27" s="592">
        <f>' FOCO ESTIMACION'!I31</f>
        <v>-6768010.4000000004</v>
      </c>
      <c r="J27" s="592">
        <f>' FOCO ESTIMACION'!J31</f>
        <v>-6718084.6799999997</v>
      </c>
      <c r="K27" s="592">
        <f>' FOCO ESTIMACION'!K31</f>
        <v>-6409252.2000000002</v>
      </c>
      <c r="L27" s="592">
        <f>' FOCO ESTIMACION'!L31</f>
        <v>-6747081.1699999999</v>
      </c>
      <c r="M27" s="592">
        <f>' FOCO ESTIMACION'!M31</f>
        <v>-6498241.7000000002</v>
      </c>
      <c r="N27" s="592">
        <f>' FOCO ESTIMACION'!N31</f>
        <v>-4783198.82</v>
      </c>
      <c r="O27" s="592">
        <f>SUM(C27:N27)</f>
        <v>-75894974.99000001</v>
      </c>
    </row>
    <row r="28" spans="1:15" x14ac:dyDescent="0.2">
      <c r="A28" s="566" t="s">
        <v>281</v>
      </c>
      <c r="O28" s="561"/>
    </row>
    <row r="31" spans="1:15" x14ac:dyDescent="0.2">
      <c r="C31" s="561"/>
      <c r="D31" s="561"/>
      <c r="E31" s="561"/>
      <c r="F31" s="561"/>
      <c r="G31" s="561"/>
      <c r="H31" s="561"/>
      <c r="I31" s="561"/>
      <c r="J31" s="561"/>
      <c r="K31" s="561"/>
      <c r="L31" s="561"/>
      <c r="M31" s="561"/>
      <c r="N31" s="561"/>
      <c r="O31" s="561"/>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1"/>
  <sheetViews>
    <sheetView topLeftCell="B1" workbookViewId="0">
      <selection activeCell="I40" sqref="I40"/>
    </sheetView>
  </sheetViews>
  <sheetFormatPr baseColWidth="10" defaultRowHeight="12.75" x14ac:dyDescent="0.2"/>
  <cols>
    <col min="1" max="1" width="16.5703125" style="552" customWidth="1"/>
    <col min="2" max="2" width="9.28515625" style="552" bestFit="1" customWidth="1"/>
    <col min="3" max="3" width="12.7109375" style="552" bestFit="1" customWidth="1"/>
    <col min="4" max="14" width="11.85546875" style="552" bestFit="1" customWidth="1"/>
    <col min="15" max="15" width="13.7109375"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311</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68">
        <v>3.8100000000000002E-2</v>
      </c>
      <c r="C7" s="584">
        <v>221149.74295927721</v>
      </c>
      <c r="D7" s="585">
        <v>222516.2298324453</v>
      </c>
      <c r="E7" s="584">
        <v>252825.77036195033</v>
      </c>
      <c r="F7" s="585">
        <v>242573.30921120683</v>
      </c>
      <c r="G7" s="584">
        <v>258898.84233744943</v>
      </c>
      <c r="H7" s="584">
        <v>248735.24449241886</v>
      </c>
      <c r="I7" s="586">
        <v>257861.19628767337</v>
      </c>
      <c r="J7" s="585">
        <v>255959.02638851784</v>
      </c>
      <c r="K7" s="584">
        <v>244192.50881827332</v>
      </c>
      <c r="L7" s="585">
        <v>257063.79269192531</v>
      </c>
      <c r="M7" s="584">
        <v>247583.00890387889</v>
      </c>
      <c r="N7" s="584">
        <v>182239.87521498336</v>
      </c>
      <c r="O7" s="587">
        <f>SUM(C7:N7)</f>
        <v>2891598.5474999999</v>
      </c>
    </row>
    <row r="8" spans="1:15" x14ac:dyDescent="0.2">
      <c r="A8" s="557" t="s">
        <v>144</v>
      </c>
      <c r="B8" s="569">
        <v>1.6299999999999999E-2</v>
      </c>
      <c r="C8" s="584">
        <v>94612.619691239321</v>
      </c>
      <c r="D8" s="585">
        <v>95197.232185534333</v>
      </c>
      <c r="E8" s="584">
        <v>108164.30595537506</v>
      </c>
      <c r="F8" s="585">
        <v>103778.08241844281</v>
      </c>
      <c r="G8" s="584">
        <v>110762.49685302953</v>
      </c>
      <c r="H8" s="584">
        <v>106414.29095082486</v>
      </c>
      <c r="I8" s="584">
        <v>110318.56954039568</v>
      </c>
      <c r="J8" s="585">
        <v>109504.78031844726</v>
      </c>
      <c r="K8" s="584">
        <v>104470.81085926128</v>
      </c>
      <c r="L8" s="585">
        <v>109977.42312016751</v>
      </c>
      <c r="M8" s="584">
        <v>105921.33976727625</v>
      </c>
      <c r="N8" s="584">
        <v>77966.140840005988</v>
      </c>
      <c r="O8" s="587">
        <f t="shared" ref="O8:O26" si="0">SUM(C8:N8)</f>
        <v>1237088.0925</v>
      </c>
    </row>
    <row r="9" spans="1:15" x14ac:dyDescent="0.2">
      <c r="A9" s="557" t="s">
        <v>145</v>
      </c>
      <c r="B9" s="569">
        <v>1.32E-2</v>
      </c>
      <c r="C9" s="584">
        <v>76618.808584316517</v>
      </c>
      <c r="D9" s="585">
        <v>77092.237107303881</v>
      </c>
      <c r="E9" s="584">
        <v>87593.180282880421</v>
      </c>
      <c r="F9" s="585">
        <v>84041.146498370872</v>
      </c>
      <c r="G9" s="584">
        <v>89697.23671533681</v>
      </c>
      <c r="H9" s="584">
        <v>86175.990217845901</v>
      </c>
      <c r="I9" s="584">
        <v>89337.73729651676</v>
      </c>
      <c r="J9" s="585">
        <v>88678.717803895939</v>
      </c>
      <c r="K9" s="584">
        <v>84602.129039401771</v>
      </c>
      <c r="L9" s="585">
        <v>89061.47148381664</v>
      </c>
      <c r="M9" s="584">
        <v>85776.790486383237</v>
      </c>
      <c r="N9" s="584">
        <v>63138.224483931241</v>
      </c>
      <c r="O9" s="587">
        <f t="shared" si="0"/>
        <v>1001813.6699999999</v>
      </c>
    </row>
    <row r="10" spans="1:15" x14ac:dyDescent="0.2">
      <c r="A10" s="557" t="s">
        <v>275</v>
      </c>
      <c r="B10" s="569">
        <v>7.6399999999999996E-2</v>
      </c>
      <c r="C10" s="584">
        <v>443460.37695771072</v>
      </c>
      <c r="D10" s="585">
        <v>446200.52386348607</v>
      </c>
      <c r="E10" s="584">
        <v>506978.71012212604</v>
      </c>
      <c r="F10" s="585">
        <v>486419.96912693436</v>
      </c>
      <c r="G10" s="584">
        <v>519156.73371604027</v>
      </c>
      <c r="H10" s="584">
        <v>498776.18580632017</v>
      </c>
      <c r="I10" s="584">
        <v>517075.99465559697</v>
      </c>
      <c r="J10" s="585">
        <v>513261.66971345828</v>
      </c>
      <c r="K10" s="584">
        <v>489666.86807653756</v>
      </c>
      <c r="L10" s="585">
        <v>515477.00161845388</v>
      </c>
      <c r="M10" s="584">
        <v>496465.66614846047</v>
      </c>
      <c r="N10" s="584">
        <v>365436.39019487472</v>
      </c>
      <c r="O10" s="587">
        <f t="shared" si="0"/>
        <v>5798376.0899999999</v>
      </c>
    </row>
    <row r="11" spans="1:15" x14ac:dyDescent="0.2">
      <c r="A11" s="557" t="s">
        <v>147</v>
      </c>
      <c r="B11" s="569">
        <v>6.2E-2</v>
      </c>
      <c r="C11" s="584">
        <v>359876.22213845636</v>
      </c>
      <c r="D11" s="585">
        <v>362099.90156460914</v>
      </c>
      <c r="E11" s="584">
        <v>411422.51344989287</v>
      </c>
      <c r="F11" s="585">
        <v>394738.71840143891</v>
      </c>
      <c r="G11" s="584">
        <v>421305.20275385468</v>
      </c>
      <c r="H11" s="584">
        <v>404766.0146595792</v>
      </c>
      <c r="I11" s="584">
        <v>419616.64487757871</v>
      </c>
      <c r="J11" s="585">
        <v>416521.25029102637</v>
      </c>
      <c r="K11" s="584">
        <v>397373.63639719016</v>
      </c>
      <c r="L11" s="585">
        <v>418319.03272701753</v>
      </c>
      <c r="M11" s="584">
        <v>402890.98561786063</v>
      </c>
      <c r="N11" s="584">
        <v>296558.32712149521</v>
      </c>
      <c r="O11" s="587">
        <f t="shared" si="0"/>
        <v>4705488.4499999993</v>
      </c>
    </row>
    <row r="12" spans="1:15" x14ac:dyDescent="0.2">
      <c r="A12" s="557" t="s">
        <v>276</v>
      </c>
      <c r="B12" s="569">
        <v>7.2300000000000003E-2</v>
      </c>
      <c r="C12" s="584">
        <v>419662.11065500637</v>
      </c>
      <c r="D12" s="585">
        <v>422255.20779227809</v>
      </c>
      <c r="E12" s="584">
        <v>479771.73745850415</v>
      </c>
      <c r="F12" s="585">
        <v>460316.27968425862</v>
      </c>
      <c r="G12" s="584">
        <v>491296.22837264027</v>
      </c>
      <c r="H12" s="584">
        <v>472009.40096592868</v>
      </c>
      <c r="I12" s="584">
        <v>489327.15201046679</v>
      </c>
      <c r="J12" s="585">
        <v>485717.52251679369</v>
      </c>
      <c r="K12" s="584">
        <v>463388.93405672337</v>
      </c>
      <c r="L12" s="585">
        <v>487813.9688090866</v>
      </c>
      <c r="M12" s="584">
        <v>469822.87516405364</v>
      </c>
      <c r="N12" s="584">
        <v>345825.27501425974</v>
      </c>
      <c r="O12" s="587">
        <f t="shared" si="0"/>
        <v>5487206.6924999999</v>
      </c>
    </row>
    <row r="13" spans="1:15" x14ac:dyDescent="0.2">
      <c r="A13" s="557" t="s">
        <v>149</v>
      </c>
      <c r="B13" s="569">
        <v>0.02</v>
      </c>
      <c r="C13" s="584">
        <v>116089.10391563109</v>
      </c>
      <c r="D13" s="585">
        <v>116806.41985955134</v>
      </c>
      <c r="E13" s="584">
        <v>132716.93982254609</v>
      </c>
      <c r="F13" s="585">
        <v>127335.07045207708</v>
      </c>
      <c r="G13" s="584">
        <v>135904.90411414669</v>
      </c>
      <c r="H13" s="584">
        <v>130569.68214825136</v>
      </c>
      <c r="I13" s="584">
        <v>135360.20802502538</v>
      </c>
      <c r="J13" s="585">
        <v>134361.69364226659</v>
      </c>
      <c r="K13" s="584">
        <v>128185.0439990936</v>
      </c>
      <c r="L13" s="585">
        <v>134941.62346032824</v>
      </c>
      <c r="M13" s="584">
        <v>129964.83407027763</v>
      </c>
      <c r="N13" s="584">
        <v>95663.976490804911</v>
      </c>
      <c r="O13" s="587">
        <f t="shared" si="0"/>
        <v>1517899.5</v>
      </c>
    </row>
    <row r="14" spans="1:15" x14ac:dyDescent="0.2">
      <c r="A14" s="557" t="s">
        <v>150</v>
      </c>
      <c r="B14" s="569">
        <v>2.6700000000000002E-2</v>
      </c>
      <c r="C14" s="584">
        <v>154978.95372736751</v>
      </c>
      <c r="D14" s="585">
        <v>155936.57051250106</v>
      </c>
      <c r="E14" s="584">
        <v>177177.11466309906</v>
      </c>
      <c r="F14" s="585">
        <v>169992.31905352289</v>
      </c>
      <c r="G14" s="584">
        <v>181433.04699238582</v>
      </c>
      <c r="H14" s="584">
        <v>174310.52566791559</v>
      </c>
      <c r="I14" s="584">
        <v>180705.8777134089</v>
      </c>
      <c r="J14" s="585">
        <v>179372.86101242588</v>
      </c>
      <c r="K14" s="584">
        <v>171127.03373878996</v>
      </c>
      <c r="L14" s="585">
        <v>180147.06731953821</v>
      </c>
      <c r="M14" s="584">
        <v>173503.05348382064</v>
      </c>
      <c r="N14" s="584">
        <v>127711.40861522456</v>
      </c>
      <c r="O14" s="587">
        <f t="shared" si="0"/>
        <v>2026395.8325</v>
      </c>
    </row>
    <row r="15" spans="1:15" x14ac:dyDescent="0.2">
      <c r="A15" s="557" t="s">
        <v>151</v>
      </c>
      <c r="B15" s="569">
        <v>2.3E-2</v>
      </c>
      <c r="C15" s="584">
        <v>133502.46950297573</v>
      </c>
      <c r="D15" s="585">
        <v>134327.38283848405</v>
      </c>
      <c r="E15" s="584">
        <v>152624.48079592802</v>
      </c>
      <c r="F15" s="585">
        <v>146435.33101988863</v>
      </c>
      <c r="G15" s="584">
        <v>156290.63973126869</v>
      </c>
      <c r="H15" s="584">
        <v>150155.13447048908</v>
      </c>
      <c r="I15" s="584">
        <v>155664.23922877919</v>
      </c>
      <c r="J15" s="585">
        <v>154515.94768860657</v>
      </c>
      <c r="K15" s="584">
        <v>147412.80059895763</v>
      </c>
      <c r="L15" s="585">
        <v>155182.86697937749</v>
      </c>
      <c r="M15" s="584">
        <v>149459.55918081925</v>
      </c>
      <c r="N15" s="584">
        <v>110013.57296442564</v>
      </c>
      <c r="O15" s="587">
        <f t="shared" si="0"/>
        <v>1745584.425</v>
      </c>
    </row>
    <row r="16" spans="1:15" x14ac:dyDescent="0.2">
      <c r="A16" s="557" t="s">
        <v>152</v>
      </c>
      <c r="B16" s="569">
        <v>2.3099999999999999E-2</v>
      </c>
      <c r="C16" s="584">
        <v>134082.91502255391</v>
      </c>
      <c r="D16" s="585">
        <v>134911.41493778178</v>
      </c>
      <c r="E16" s="584">
        <v>153288.06549504073</v>
      </c>
      <c r="F16" s="585">
        <v>147072.00637214902</v>
      </c>
      <c r="G16" s="584">
        <v>156970.16425183942</v>
      </c>
      <c r="H16" s="584">
        <v>150807.98288123033</v>
      </c>
      <c r="I16" s="584">
        <v>156341.04026890433</v>
      </c>
      <c r="J16" s="585">
        <v>155187.75615681789</v>
      </c>
      <c r="K16" s="584">
        <v>148053.7258189531</v>
      </c>
      <c r="L16" s="585">
        <v>155857.57509667912</v>
      </c>
      <c r="M16" s="584">
        <v>150109.38335117066</v>
      </c>
      <c r="N16" s="584">
        <v>110491.89284687967</v>
      </c>
      <c r="O16" s="587">
        <f t="shared" si="0"/>
        <v>1753173.9224999999</v>
      </c>
    </row>
    <row r="17" spans="1:15" x14ac:dyDescent="0.2">
      <c r="A17" s="557" t="s">
        <v>153</v>
      </c>
      <c r="B17" s="569">
        <v>5.0500000000000003E-2</v>
      </c>
      <c r="C17" s="584">
        <v>293124.98738696851</v>
      </c>
      <c r="D17" s="585">
        <v>294936.21014536713</v>
      </c>
      <c r="E17" s="584">
        <v>335110.2730519289</v>
      </c>
      <c r="F17" s="585">
        <v>321521.05289149465</v>
      </c>
      <c r="G17" s="584">
        <v>343159.88288822037</v>
      </c>
      <c r="H17" s="584">
        <v>329688.44742433471</v>
      </c>
      <c r="I17" s="584">
        <v>341784.52526318911</v>
      </c>
      <c r="J17" s="585">
        <v>339263.27644672315</v>
      </c>
      <c r="K17" s="584">
        <v>323667.23609771137</v>
      </c>
      <c r="L17" s="585">
        <v>340727.59923732886</v>
      </c>
      <c r="M17" s="584">
        <v>328161.20602745103</v>
      </c>
      <c r="N17" s="584">
        <v>241551.54063928241</v>
      </c>
      <c r="O17" s="587">
        <f t="shared" si="0"/>
        <v>3832696.2374999993</v>
      </c>
    </row>
    <row r="18" spans="1:15" x14ac:dyDescent="0.2">
      <c r="A18" s="557" t="s">
        <v>154</v>
      </c>
      <c r="B18" s="569">
        <v>2.58E-2</v>
      </c>
      <c r="C18" s="584">
        <v>149754.94405116409</v>
      </c>
      <c r="D18" s="585">
        <v>150680.28161882123</v>
      </c>
      <c r="E18" s="584">
        <v>171204.85237108447</v>
      </c>
      <c r="F18" s="585">
        <v>164262.24088317942</v>
      </c>
      <c r="G18" s="584">
        <v>175317.32630724923</v>
      </c>
      <c r="H18" s="584">
        <v>168434.88997124427</v>
      </c>
      <c r="I18" s="584">
        <v>174614.66835228275</v>
      </c>
      <c r="J18" s="585">
        <v>173326.58479852389</v>
      </c>
      <c r="K18" s="584">
        <v>165358.70675883075</v>
      </c>
      <c r="L18" s="585">
        <v>174074.69426382345</v>
      </c>
      <c r="M18" s="584">
        <v>167654.63595065812</v>
      </c>
      <c r="N18" s="584">
        <v>123406.52967313833</v>
      </c>
      <c r="O18" s="587">
        <f t="shared" si="0"/>
        <v>1958090.3549999997</v>
      </c>
    </row>
    <row r="19" spans="1:15" x14ac:dyDescent="0.2">
      <c r="A19" s="557" t="s">
        <v>155</v>
      </c>
      <c r="B19" s="569">
        <v>3.39E-2</v>
      </c>
      <c r="C19" s="584">
        <v>196771.03113699469</v>
      </c>
      <c r="D19" s="585">
        <v>197986.88166193952</v>
      </c>
      <c r="E19" s="584">
        <v>224955.21299921564</v>
      </c>
      <c r="F19" s="585">
        <v>215832.94441627062</v>
      </c>
      <c r="G19" s="584">
        <v>230358.81247347861</v>
      </c>
      <c r="H19" s="584">
        <v>221315.61124128607</v>
      </c>
      <c r="I19" s="584">
        <v>229435.55260241803</v>
      </c>
      <c r="J19" s="585">
        <v>227743.07072364184</v>
      </c>
      <c r="K19" s="584">
        <v>217273.64957846366</v>
      </c>
      <c r="L19" s="585">
        <v>228726.05176525636</v>
      </c>
      <c r="M19" s="584">
        <v>220290.39374912056</v>
      </c>
      <c r="N19" s="584">
        <v>162150.44015191431</v>
      </c>
      <c r="O19" s="587">
        <f t="shared" si="0"/>
        <v>2572839.6525000003</v>
      </c>
    </row>
    <row r="20" spans="1:15" x14ac:dyDescent="0.2">
      <c r="A20" s="557" t="s">
        <v>277</v>
      </c>
      <c r="B20" s="569">
        <v>8.2000000000000007E-3</v>
      </c>
      <c r="C20" s="584">
        <v>47596.532605408749</v>
      </c>
      <c r="D20" s="585">
        <v>47890.632142416056</v>
      </c>
      <c r="E20" s="584">
        <v>54413.945327243906</v>
      </c>
      <c r="F20" s="585">
        <v>52207.378885351602</v>
      </c>
      <c r="G20" s="584">
        <v>55721.010686800146</v>
      </c>
      <c r="H20" s="584">
        <v>53533.569680783061</v>
      </c>
      <c r="I20" s="584">
        <v>55497.685290260415</v>
      </c>
      <c r="J20" s="585">
        <v>55088.294393329299</v>
      </c>
      <c r="K20" s="584">
        <v>52555.868039628382</v>
      </c>
      <c r="L20" s="585">
        <v>55326.065618734581</v>
      </c>
      <c r="M20" s="584">
        <v>53285.581968813829</v>
      </c>
      <c r="N20" s="584">
        <v>39222.230361230017</v>
      </c>
      <c r="O20" s="587">
        <f t="shared" si="0"/>
        <v>622338.79499999993</v>
      </c>
    </row>
    <row r="21" spans="1:15" x14ac:dyDescent="0.2">
      <c r="A21" s="557" t="s">
        <v>278</v>
      </c>
      <c r="B21" s="569">
        <v>2.2700000000000001E-2</v>
      </c>
      <c r="C21" s="584">
        <v>131761.13294424128</v>
      </c>
      <c r="D21" s="585">
        <v>132575.28654059078</v>
      </c>
      <c r="E21" s="584">
        <v>150633.72669858983</v>
      </c>
      <c r="F21" s="585">
        <v>144525.30496310748</v>
      </c>
      <c r="G21" s="584">
        <v>154252.06616955649</v>
      </c>
      <c r="H21" s="584">
        <v>148196.5892382653</v>
      </c>
      <c r="I21" s="584">
        <v>153633.83610840383</v>
      </c>
      <c r="J21" s="585">
        <v>152500.52228397259</v>
      </c>
      <c r="K21" s="584">
        <v>145490.02493897124</v>
      </c>
      <c r="L21" s="585">
        <v>153158.74262747256</v>
      </c>
      <c r="M21" s="584">
        <v>147510.08666976512</v>
      </c>
      <c r="N21" s="584">
        <v>108578.61331706357</v>
      </c>
      <c r="O21" s="587">
        <f t="shared" si="0"/>
        <v>1722815.9325000003</v>
      </c>
    </row>
    <row r="22" spans="1:15" x14ac:dyDescent="0.2">
      <c r="A22" s="557" t="s">
        <v>279</v>
      </c>
      <c r="B22" s="569">
        <v>8.5900000000000004E-2</v>
      </c>
      <c r="C22" s="584">
        <v>498602.70131763554</v>
      </c>
      <c r="D22" s="585">
        <v>501683.57329677301</v>
      </c>
      <c r="E22" s="584">
        <v>570019.25653783546</v>
      </c>
      <c r="F22" s="585">
        <v>546904.12759167107</v>
      </c>
      <c r="G22" s="584">
        <v>583711.56317026005</v>
      </c>
      <c r="H22" s="584">
        <v>560796.78482673969</v>
      </c>
      <c r="I22" s="584">
        <v>581372.09346748411</v>
      </c>
      <c r="J22" s="585">
        <v>577083.47419353493</v>
      </c>
      <c r="K22" s="584">
        <v>550554.763976107</v>
      </c>
      <c r="L22" s="585">
        <v>579574.27276210987</v>
      </c>
      <c r="M22" s="584">
        <v>558198.9623318424</v>
      </c>
      <c r="N22" s="584">
        <v>410876.77902800712</v>
      </c>
      <c r="O22" s="587">
        <f t="shared" si="0"/>
        <v>6519378.3525</v>
      </c>
    </row>
    <row r="23" spans="1:15" x14ac:dyDescent="0.2">
      <c r="A23" s="557" t="s">
        <v>159</v>
      </c>
      <c r="B23" s="569">
        <v>4.5499999999999999E-2</v>
      </c>
      <c r="C23" s="584">
        <v>264102.71140806068</v>
      </c>
      <c r="D23" s="585">
        <v>265734.6051804793</v>
      </c>
      <c r="E23" s="584">
        <v>301931.03809629235</v>
      </c>
      <c r="F23" s="585">
        <v>289687.28527847532</v>
      </c>
      <c r="G23" s="584">
        <v>309183.65685968369</v>
      </c>
      <c r="H23" s="584">
        <v>297046.02688727184</v>
      </c>
      <c r="I23" s="584">
        <v>307944.47325693275</v>
      </c>
      <c r="J23" s="585">
        <v>305672.85303615645</v>
      </c>
      <c r="K23" s="584">
        <v>291620.97509793792</v>
      </c>
      <c r="L23" s="585">
        <v>306992.19337224675</v>
      </c>
      <c r="M23" s="584">
        <v>295669.99750988156</v>
      </c>
      <c r="N23" s="584">
        <v>217635.54651658115</v>
      </c>
      <c r="O23" s="587">
        <f t="shared" si="0"/>
        <v>3453221.3624999993</v>
      </c>
    </row>
    <row r="24" spans="1:15" x14ac:dyDescent="0.2">
      <c r="A24" s="557" t="s">
        <v>160</v>
      </c>
      <c r="B24" s="569">
        <v>0.29020000000000001</v>
      </c>
      <c r="C24" s="584">
        <v>1684452.897815807</v>
      </c>
      <c r="D24" s="585">
        <v>1694861.1521620899</v>
      </c>
      <c r="E24" s="584">
        <v>1925722.796825144</v>
      </c>
      <c r="F24" s="585">
        <v>1847631.8722596385</v>
      </c>
      <c r="G24" s="584">
        <v>1971980.1586962685</v>
      </c>
      <c r="H24" s="584">
        <v>1894566.0879711274</v>
      </c>
      <c r="I24" s="584">
        <v>1964076.6184431184</v>
      </c>
      <c r="J24" s="585">
        <v>1949588.1747492882</v>
      </c>
      <c r="K24" s="584">
        <v>1859964.9884268483</v>
      </c>
      <c r="L24" s="585">
        <v>1958002.9564093628</v>
      </c>
      <c r="M24" s="584">
        <v>1885789.7423597283</v>
      </c>
      <c r="N24" s="584">
        <v>1388084.2988815792</v>
      </c>
      <c r="O24" s="587">
        <f t="shared" si="0"/>
        <v>22024721.744999997</v>
      </c>
    </row>
    <row r="25" spans="1:15" x14ac:dyDescent="0.2">
      <c r="A25" s="557" t="s">
        <v>161</v>
      </c>
      <c r="B25" s="569">
        <v>2.7300000000000001E-2</v>
      </c>
      <c r="C25" s="584">
        <v>158461.62684483643</v>
      </c>
      <c r="D25" s="585">
        <v>159440.76310828759</v>
      </c>
      <c r="E25" s="584">
        <v>181158.62285777542</v>
      </c>
      <c r="F25" s="585">
        <v>173812.37116708522</v>
      </c>
      <c r="G25" s="584">
        <v>185510.19411581021</v>
      </c>
      <c r="H25" s="584">
        <v>178227.61613236312</v>
      </c>
      <c r="I25" s="584">
        <v>184766.68395415967</v>
      </c>
      <c r="J25" s="585">
        <v>183403.7118216939</v>
      </c>
      <c r="K25" s="584">
        <v>174972.58505876278</v>
      </c>
      <c r="L25" s="585">
        <v>184195.31602334807</v>
      </c>
      <c r="M25" s="584">
        <v>177401.99850592896</v>
      </c>
      <c r="N25" s="584">
        <v>130581.3279099487</v>
      </c>
      <c r="O25" s="587">
        <f t="shared" si="0"/>
        <v>2071932.8175000001</v>
      </c>
    </row>
    <row r="26" spans="1:15" ht="13.5" thickBot="1" x14ac:dyDescent="0.25">
      <c r="A26" s="557" t="s">
        <v>162</v>
      </c>
      <c r="B26" s="570">
        <v>3.8899999999999997E-2</v>
      </c>
      <c r="C26" s="584">
        <v>225793.30711590243</v>
      </c>
      <c r="D26" s="585">
        <v>227188.48662682733</v>
      </c>
      <c r="E26" s="584">
        <v>258134.44795485213</v>
      </c>
      <c r="F26" s="585">
        <v>247666.71202928989</v>
      </c>
      <c r="G26" s="584">
        <v>264335.03850201529</v>
      </c>
      <c r="H26" s="584">
        <v>253958.0317783489</v>
      </c>
      <c r="I26" s="590">
        <v>263275.60460867436</v>
      </c>
      <c r="J26" s="585">
        <v>261333.49413420848</v>
      </c>
      <c r="K26" s="584">
        <v>249319.91057823703</v>
      </c>
      <c r="L26" s="585">
        <v>262461.45763033844</v>
      </c>
      <c r="M26" s="584">
        <v>252781.60226668997</v>
      </c>
      <c r="N26" s="584">
        <v>186066.43427461552</v>
      </c>
      <c r="O26" s="587">
        <f t="shared" si="0"/>
        <v>2952314.5274999999</v>
      </c>
    </row>
    <row r="27" spans="1:15" ht="13.5" thickBot="1" x14ac:dyDescent="0.25">
      <c r="A27" s="562" t="s">
        <v>280</v>
      </c>
      <c r="B27" s="563">
        <f>SUM(B7:B26)</f>
        <v>1</v>
      </c>
      <c r="C27" s="592">
        <f>'X22.55 POE'!B74</f>
        <v>5804455.2000000002</v>
      </c>
      <c r="D27" s="592">
        <f>'X22.55 POE'!C74</f>
        <v>5840320.9900000002</v>
      </c>
      <c r="E27" s="592">
        <f>'X22.55 POE'!D74</f>
        <v>6635846.9900000002</v>
      </c>
      <c r="F27" s="592">
        <f>'X22.55 POE'!E74</f>
        <v>6366753.5199999996</v>
      </c>
      <c r="G27" s="592">
        <f>'X22.55 POE'!F74</f>
        <v>6795245.21</v>
      </c>
      <c r="H27" s="592">
        <f>'X22.55 POE'!G74</f>
        <v>6528484.1100000003</v>
      </c>
      <c r="I27" s="592">
        <f>'X22.55 POE'!H74</f>
        <v>6768010.4000000004</v>
      </c>
      <c r="J27" s="592">
        <f>'X22.55 POE'!I74</f>
        <v>6718084.6799999997</v>
      </c>
      <c r="K27" s="592">
        <f>'X22.55 POE'!J74</f>
        <v>6409252.2000000002</v>
      </c>
      <c r="L27" s="592">
        <f>'X22.55 POE'!K74</f>
        <v>6747081.1699999999</v>
      </c>
      <c r="M27" s="592">
        <f>'X22.55 POE'!L74</f>
        <v>6498241.7000000002</v>
      </c>
      <c r="N27" s="592">
        <f>'X22.55 POE'!M74</f>
        <v>4783198.82</v>
      </c>
      <c r="O27" s="592">
        <f>SUM(C27:N27)</f>
        <v>75894974.99000001</v>
      </c>
    </row>
    <row r="28" spans="1:15" x14ac:dyDescent="0.2">
      <c r="A28" s="566" t="s">
        <v>281</v>
      </c>
      <c r="O28" s="561"/>
    </row>
    <row r="30" spans="1:15" x14ac:dyDescent="0.2">
      <c r="C30" s="561">
        <f>'X22.55 POE'!B73</f>
        <v>0</v>
      </c>
      <c r="D30" s="561">
        <f>'X22.55 POE'!C73</f>
        <v>0</v>
      </c>
      <c r="E30" s="561">
        <f>'X22.55 POE'!D73</f>
        <v>0</v>
      </c>
      <c r="F30" s="561">
        <f>'X22.55 POE'!E73</f>
        <v>0</v>
      </c>
      <c r="G30" s="561">
        <f>'X22.55 POE'!F73</f>
        <v>0</v>
      </c>
      <c r="H30" s="561">
        <f>'X22.55 POE'!G73</f>
        <v>0</v>
      </c>
      <c r="I30" s="561">
        <f>'X22.55 POE'!H73</f>
        <v>0</v>
      </c>
      <c r="J30" s="561">
        <f>'X22.55 POE'!I73</f>
        <v>0</v>
      </c>
      <c r="K30" s="561">
        <f>'X22.55 POE'!J73</f>
        <v>0</v>
      </c>
      <c r="L30" s="561">
        <f>'X22.55 POE'!K73</f>
        <v>0</v>
      </c>
      <c r="M30" s="561">
        <f>'X22.55 POE'!L73</f>
        <v>0</v>
      </c>
      <c r="N30" s="561">
        <f>'X22.55 POE'!M73</f>
        <v>0</v>
      </c>
      <c r="O30" s="561">
        <f>SUM(C30:N30)</f>
        <v>0</v>
      </c>
    </row>
    <row r="31" spans="1:15" x14ac:dyDescent="0.2">
      <c r="C31" s="561">
        <f t="shared" ref="C31:O31" si="1">C30-C27</f>
        <v>-5804455.2000000002</v>
      </c>
      <c r="D31" s="561">
        <f t="shared" si="1"/>
        <v>-5840320.9900000002</v>
      </c>
      <c r="E31" s="561">
        <f t="shared" si="1"/>
        <v>-6635846.9900000002</v>
      </c>
      <c r="F31" s="561">
        <f t="shared" si="1"/>
        <v>-6366753.5199999996</v>
      </c>
      <c r="G31" s="561">
        <f t="shared" si="1"/>
        <v>-6795245.21</v>
      </c>
      <c r="H31" s="561">
        <f t="shared" si="1"/>
        <v>-6528484.1100000003</v>
      </c>
      <c r="I31" s="561">
        <f t="shared" si="1"/>
        <v>-6768010.4000000004</v>
      </c>
      <c r="J31" s="561">
        <f t="shared" si="1"/>
        <v>-6718084.6799999997</v>
      </c>
      <c r="K31" s="561">
        <f t="shared" si="1"/>
        <v>-6409252.2000000002</v>
      </c>
      <c r="L31" s="561">
        <f t="shared" si="1"/>
        <v>-6747081.1699999999</v>
      </c>
      <c r="M31" s="561">
        <f t="shared" si="1"/>
        <v>-6498241.7000000002</v>
      </c>
      <c r="N31" s="561">
        <f t="shared" si="1"/>
        <v>-4783198.82</v>
      </c>
      <c r="O31" s="561">
        <f t="shared" si="1"/>
        <v>-75894974.99000001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T39"/>
  <sheetViews>
    <sheetView workbookViewId="0">
      <selection sqref="A1:O1"/>
    </sheetView>
  </sheetViews>
  <sheetFormatPr baseColWidth="10" defaultRowHeight="12.75" x14ac:dyDescent="0.2"/>
  <cols>
    <col min="1" max="1" width="16.42578125" style="552" bestFit="1" customWidth="1"/>
    <col min="2" max="2" width="9.140625" style="552" hidden="1" customWidth="1"/>
    <col min="3" max="10" width="9.7109375" style="552" customWidth="1"/>
    <col min="11" max="11" width="10.5703125" style="552" customWidth="1"/>
    <col min="12" max="14" width="9.7109375" style="552" customWidth="1"/>
    <col min="15" max="15" width="10.85546875" style="552" bestFit="1" customWidth="1"/>
    <col min="16" max="16" width="12.7109375" style="552" bestFit="1" customWidth="1"/>
    <col min="17" max="19" width="11.42578125" style="552"/>
    <col min="20" max="20" width="11.7109375" style="552" bestFit="1" customWidth="1"/>
    <col min="21" max="16384" width="11.42578125" style="552"/>
  </cols>
  <sheetData>
    <row r="1" spans="1:17" x14ac:dyDescent="0.2">
      <c r="A1" s="1215" t="s">
        <v>495</v>
      </c>
      <c r="B1" s="1215"/>
      <c r="C1" s="1215"/>
      <c r="D1" s="1215"/>
      <c r="E1" s="1215"/>
      <c r="F1" s="1215"/>
      <c r="G1" s="1215"/>
      <c r="H1" s="1215"/>
      <c r="I1" s="1215"/>
      <c r="J1" s="1215"/>
      <c r="K1" s="1215"/>
      <c r="L1" s="1215"/>
      <c r="M1" s="1215"/>
      <c r="N1" s="1215"/>
      <c r="O1" s="1215"/>
    </row>
    <row r="2" spans="1:17" ht="13.5" thickBot="1" x14ac:dyDescent="0.25"/>
    <row r="3" spans="1:17" ht="34.5" thickBot="1" x14ac:dyDescent="0.25">
      <c r="A3" s="843" t="s">
        <v>387</v>
      </c>
      <c r="B3" s="844" t="s">
        <v>273</v>
      </c>
      <c r="C3" s="843" t="s">
        <v>1</v>
      </c>
      <c r="D3" s="845" t="s">
        <v>2</v>
      </c>
      <c r="E3" s="843" t="s">
        <v>3</v>
      </c>
      <c r="F3" s="845" t="s">
        <v>4</v>
      </c>
      <c r="G3" s="843" t="s">
        <v>5</v>
      </c>
      <c r="H3" s="843" t="s">
        <v>6</v>
      </c>
      <c r="I3" s="843" t="s">
        <v>7</v>
      </c>
      <c r="J3" s="845" t="s">
        <v>8</v>
      </c>
      <c r="K3" s="843" t="s">
        <v>9</v>
      </c>
      <c r="L3" s="845" t="s">
        <v>10</v>
      </c>
      <c r="M3" s="843" t="s">
        <v>11</v>
      </c>
      <c r="N3" s="843" t="s">
        <v>12</v>
      </c>
      <c r="O3" s="846" t="s">
        <v>165</v>
      </c>
    </row>
    <row r="4" spans="1:17" x14ac:dyDescent="0.2">
      <c r="A4" s="557" t="s">
        <v>274</v>
      </c>
      <c r="B4" s="577"/>
      <c r="C4" s="559">
        <f>F.G.P.INCREMENTO!C7+'F.G.P. ESTIMACIONES 2014'!C7</f>
        <v>5438734.7401247676</v>
      </c>
      <c r="D4" s="559">
        <f>F.G.P.INCREMENTO!D7+'F.G.P. ESTIMACIONES 2014'!D7</f>
        <v>7831018.3288366143</v>
      </c>
      <c r="E4" s="559">
        <f>F.G.P.INCREMENTO!E7+'F.G.P. ESTIMACIONES 2014'!E7</f>
        <v>5029466.8310588468</v>
      </c>
      <c r="F4" s="559">
        <f>F.G.P.INCREMENTO!F7+'F.G.P. ESTIMACIONES 2014'!F7</f>
        <v>6196555.8722221963</v>
      </c>
      <c r="G4" s="559">
        <f>F.G.P.INCREMENTO!G7+'F.G.P. ESTIMACIONES 2014'!G7</f>
        <v>7627720.39493246</v>
      </c>
      <c r="H4" s="559">
        <f>F.G.P.INCREMENTO!H7+'F.G.P. ESTIMACIONES 2014'!H7</f>
        <v>7480656.2287784899</v>
      </c>
      <c r="I4" s="559">
        <f>F.G.P.INCREMENTO!I7+'F.G.P. ESTIMACIONES 2014'!I7</f>
        <v>5737243.6941434182</v>
      </c>
      <c r="J4" s="559">
        <f>F.G.P.INCREMENTO!J7+'F.G.P. ESTIMACIONES 2014'!J7</f>
        <v>6124245.7690247539</v>
      </c>
      <c r="K4" s="559">
        <f>F.G.P.INCREMENTO!K7+'F.G.P. ESTIMACIONES 2014'!K7</f>
        <v>5730691.8999470137</v>
      </c>
      <c r="L4" s="559">
        <f>F.G.P.INCREMENTO!L7+'F.G.P. ESTIMACIONES 2014'!L7</f>
        <v>3723104.3155401596</v>
      </c>
      <c r="M4" s="559">
        <f>F.G.P.INCREMENTO!M7+'F.G.P. ESTIMACIONES 2014'!M7</f>
        <v>5555513.7789878901</v>
      </c>
      <c r="N4" s="559">
        <f>F.G.P.INCREMENTO!N7+'F.G.P. ESTIMACIONES 2014'!N7</f>
        <v>5573985.8693156894</v>
      </c>
      <c r="O4" s="560">
        <f>SUM(C4:N4)</f>
        <v>72048937.722912282</v>
      </c>
      <c r="P4" s="561"/>
      <c r="Q4" s="561"/>
    </row>
    <row r="5" spans="1:17" x14ac:dyDescent="0.2">
      <c r="A5" s="557" t="s">
        <v>144</v>
      </c>
      <c r="B5" s="577"/>
      <c r="C5" s="559">
        <f>F.G.P.INCREMENTO!C8+'F.G.P. ESTIMACIONES 2014'!C8</f>
        <v>3892850.1376917483</v>
      </c>
      <c r="D5" s="559">
        <f>F.G.P.INCREMENTO!D8+'F.G.P. ESTIMACIONES 2014'!D8</f>
        <v>5659406.4620441627</v>
      </c>
      <c r="E5" s="559">
        <f>F.G.P.INCREMENTO!E8+'F.G.P. ESTIMACIONES 2014'!E8</f>
        <v>3589429.5525898933</v>
      </c>
      <c r="F5" s="559">
        <f>F.G.P.INCREMENTO!F8+'F.G.P. ESTIMACIONES 2014'!F8</f>
        <v>4448156.9930904284</v>
      </c>
      <c r="G5" s="559">
        <f>F.G.P.INCREMENTO!G8+'F.G.P. ESTIMACIONES 2014'!G8</f>
        <v>5560066.6109109866</v>
      </c>
      <c r="H5" s="559">
        <f>F.G.P.INCREMENTO!H8+'F.G.P. ESTIMACIONES 2014'!H8</f>
        <v>5456755.3920910209</v>
      </c>
      <c r="I5" s="559">
        <f>F.G.P.INCREMENTO!I8+'F.G.P. ESTIMACIONES 2014'!I8</f>
        <v>4099201.2494861772</v>
      </c>
      <c r="J5" s="559">
        <f>F.G.P.INCREMENTO!J8+'F.G.P. ESTIMACIONES 2014'!J8</f>
        <v>4421781.3280459139</v>
      </c>
      <c r="K5" s="559">
        <f>F.G.P.INCREMENTO!K8+'F.G.P. ESTIMACIONES 2014'!K8</f>
        <v>4103305.7475531986</v>
      </c>
      <c r="L5" s="559">
        <f>F.G.P.INCREMENTO!L8+'F.G.P. ESTIMACIONES 2014'!L8</f>
        <v>2559376.8519609612</v>
      </c>
      <c r="M5" s="559">
        <f>F.G.P.INCREMENTO!M8+'F.G.P. ESTIMACIONES 2014'!M8</f>
        <v>3993377.8476619767</v>
      </c>
      <c r="N5" s="559">
        <f>F.G.P.INCREMENTO!N8+'F.G.P. ESTIMACIONES 2014'!N8</f>
        <v>3984110.8784271935</v>
      </c>
      <c r="O5" s="560">
        <f t="shared" ref="O5:O23" si="0">SUM(C5:N5)</f>
        <v>51767819.051553667</v>
      </c>
      <c r="P5" s="561"/>
      <c r="Q5" s="561"/>
    </row>
    <row r="6" spans="1:17" x14ac:dyDescent="0.2">
      <c r="A6" s="557" t="s">
        <v>145</v>
      </c>
      <c r="B6" s="577"/>
      <c r="C6" s="559">
        <f>F.G.P.INCREMENTO!C9+'F.G.P. ESTIMACIONES 2014'!C9</f>
        <v>3789211.3870696928</v>
      </c>
      <c r="D6" s="559">
        <f>F.G.P.INCREMENTO!D9+'F.G.P. ESTIMACIONES 2014'!D9</f>
        <v>5542002.5250471607</v>
      </c>
      <c r="E6" s="559">
        <f>F.G.P.INCREMENTO!E9+'F.G.P. ESTIMACIONES 2014'!E9</f>
        <v>3487441.1713881288</v>
      </c>
      <c r="F6" s="559">
        <f>F.G.P.INCREMENTO!F9+'F.G.P. ESTIMACIONES 2014'!F9</f>
        <v>4337636.4347087517</v>
      </c>
      <c r="G6" s="559">
        <f>F.G.P.INCREMENTO!G9+'F.G.P. ESTIMACIONES 2014'!G9</f>
        <v>5473622.5824676733</v>
      </c>
      <c r="H6" s="559">
        <f>F.G.P.INCREMENTO!H9+'F.G.P. ESTIMACIONES 2014'!H9</f>
        <v>5374258.8412414808</v>
      </c>
      <c r="I6" s="559">
        <f>F.G.P.INCREMENTO!I9+'F.G.P. ESTIMACIONES 2014'!I9</f>
        <v>3985585.5872885399</v>
      </c>
      <c r="J6" s="559">
        <f>F.G.P.INCREMENTO!J9+'F.G.P. ESTIMACIONES 2014'!J9</f>
        <v>4327527.6693885969</v>
      </c>
      <c r="K6" s="559">
        <f>F.G.P.INCREMENTO!K9+'F.G.P. ESTIMACIONES 2014'!K9</f>
        <v>3994973.6239665183</v>
      </c>
      <c r="L6" s="559">
        <f>F.G.P.INCREMENTO!L9+'F.G.P. ESTIMACIONES 2014'!L9</f>
        <v>2426550.6709380522</v>
      </c>
      <c r="M6" s="559">
        <f>F.G.P.INCREMENTO!M9+'F.G.P. ESTIMACIONES 2014'!M9</f>
        <v>3897451.8783494923</v>
      </c>
      <c r="N6" s="559">
        <f>F.G.P.INCREMENTO!N9+'F.G.P. ESTIMACIONES 2014'!N9</f>
        <v>3874640.8066927176</v>
      </c>
      <c r="O6" s="560">
        <f t="shared" si="0"/>
        <v>50510903.178546801</v>
      </c>
      <c r="P6" s="561"/>
      <c r="Q6" s="561"/>
    </row>
    <row r="7" spans="1:17" x14ac:dyDescent="0.2">
      <c r="A7" s="557" t="s">
        <v>275</v>
      </c>
      <c r="B7" s="577"/>
      <c r="C7" s="559">
        <f>F.G.P.INCREMENTO!C10+'F.G.P. ESTIMACIONES 2014'!C10</f>
        <v>9386371.0413277987</v>
      </c>
      <c r="D7" s="559">
        <f>F.G.P.INCREMENTO!D10+'F.G.P. ESTIMACIONES 2014'!D10</f>
        <v>15055324.625636334</v>
      </c>
      <c r="E7" s="559">
        <f>F.G.P.INCREMENTO!E10+'F.G.P. ESTIMACIONES 2014'!E10</f>
        <v>8382433.0074509392</v>
      </c>
      <c r="F7" s="559">
        <f>F.G.P.INCREMENTO!F10+'F.G.P. ESTIMACIONES 2014'!F10</f>
        <v>11060127.054710044</v>
      </c>
      <c r="G7" s="559">
        <f>F.G.P.INCREMENTO!G10+'F.G.P. ESTIMACIONES 2014'!G10</f>
        <v>16015514.943732198</v>
      </c>
      <c r="H7" s="559">
        <f>F.G.P.INCREMENTO!H10+'F.G.P. ESTIMACIONES 2014'!H10</f>
        <v>15817131.384876575</v>
      </c>
      <c r="I7" s="559">
        <f>F.G.P.INCREMENTO!I10+'F.G.P. ESTIMACIONES 2014'!I10</f>
        <v>9693965.2582328003</v>
      </c>
      <c r="J7" s="559">
        <f>F.G.P.INCREMENTO!J10+'F.G.P. ESTIMACIONES 2014'!J10</f>
        <v>11656008.048355745</v>
      </c>
      <c r="K7" s="559">
        <f>F.G.P.INCREMENTO!K10+'F.G.P. ESTIMACIONES 2014'!K10</f>
        <v>9932355.7435218878</v>
      </c>
      <c r="L7" s="559">
        <f>F.G.P.INCREMENTO!L10+'F.G.P. ESTIMACIONES 2014'!L10</f>
        <v>3430277.1830392387</v>
      </c>
      <c r="M7" s="559">
        <f>F.G.P.INCREMENTO!M10+'F.G.P. ESTIMACIONES 2014'!M10</f>
        <v>10068949.142001953</v>
      </c>
      <c r="N7" s="559">
        <f>F.G.P.INCREMENTO!N10+'F.G.P. ESTIMACIONES 2014'!N10</f>
        <v>9462287.0503133275</v>
      </c>
      <c r="O7" s="560">
        <f t="shared" si="0"/>
        <v>129960744.48319884</v>
      </c>
      <c r="P7" s="561"/>
      <c r="Q7" s="561"/>
    </row>
    <row r="8" spans="1:17" x14ac:dyDescent="0.2">
      <c r="A8" s="557" t="s">
        <v>147</v>
      </c>
      <c r="B8" s="577"/>
      <c r="C8" s="559">
        <f>F.G.P.INCREMENTO!C11+'F.G.P. ESTIMACIONES 2014'!C11</f>
        <v>7457387.1014900915</v>
      </c>
      <c r="D8" s="559">
        <f>F.G.P.INCREMENTO!D11+'F.G.P. ESTIMACIONES 2014'!D11</f>
        <v>10882594.961560536</v>
      </c>
      <c r="E8" s="559">
        <f>F.G.P.INCREMENTO!E11+'F.G.P. ESTIMACIONES 2014'!E11</f>
        <v>6868197.8005327415</v>
      </c>
      <c r="F8" s="559">
        <f>F.G.P.INCREMENTO!F11+'F.G.P. ESTIMACIONES 2014'!F11</f>
        <v>8530926.4479978867</v>
      </c>
      <c r="G8" s="559">
        <f>F.G.P.INCREMENTO!G11+'F.G.P. ESTIMACIONES 2014'!G11</f>
        <v>10727261.871922679</v>
      </c>
      <c r="H8" s="559">
        <f>F.G.P.INCREMENTO!H11+'F.G.P. ESTIMACIONES 2014'!H11</f>
        <v>10530830.754364237</v>
      </c>
      <c r="I8" s="559">
        <f>F.G.P.INCREMENTO!I11+'F.G.P. ESTIMACIONES 2014'!I11</f>
        <v>7847149.4846617188</v>
      </c>
      <c r="J8" s="559">
        <f>F.G.P.INCREMENTO!J11+'F.G.P. ESTIMACIONES 2014'!J11</f>
        <v>8499621.5832813326</v>
      </c>
      <c r="K8" s="559">
        <f>F.G.P.INCREMENTO!K11+'F.G.P. ESTIMACIONES 2014'!K11</f>
        <v>7861672.3014246356</v>
      </c>
      <c r="L8" s="559">
        <f>F.G.P.INCREMENTO!L11+'F.G.P. ESTIMACIONES 2014'!L11</f>
        <v>4823013.94596262</v>
      </c>
      <c r="M8" s="559">
        <f>F.G.P.INCREMENTO!M11+'F.G.P. ESTIMACIONES 2014'!M11</f>
        <v>7662794.5565620977</v>
      </c>
      <c r="N8" s="559">
        <f>F.G.P.INCREMENTO!N11+'F.G.P. ESTIMACIONES 2014'!N11</f>
        <v>7628010.8697459549</v>
      </c>
      <c r="O8" s="560">
        <f t="shared" si="0"/>
        <v>99319461.67950654</v>
      </c>
      <c r="P8" s="561"/>
      <c r="Q8" s="561"/>
    </row>
    <row r="9" spans="1:17" x14ac:dyDescent="0.2">
      <c r="A9" s="557" t="s">
        <v>276</v>
      </c>
      <c r="B9" s="577"/>
      <c r="C9" s="559">
        <f>F.G.P.INCREMENTO!C12+'F.G.P. ESTIMACIONES 2014'!C12</f>
        <v>3654511.8033187333</v>
      </c>
      <c r="D9" s="559">
        <f>F.G.P.INCREMENTO!D12+'F.G.P. ESTIMACIONES 2014'!D12</f>
        <v>5679781.6029348103</v>
      </c>
      <c r="E9" s="559">
        <f>F.G.P.INCREMENTO!E12+'F.G.P. ESTIMACIONES 2014'!E12</f>
        <v>3298781.6235249648</v>
      </c>
      <c r="F9" s="559">
        <f>F.G.P.INCREMENTO!F12+'F.G.P. ESTIMACIONES 2014'!F12</f>
        <v>4262968.0728458334</v>
      </c>
      <c r="G9" s="559">
        <f>F.G.P.INCREMENTO!G12+'F.G.P. ESTIMACIONES 2014'!G12</f>
        <v>5898798.7309691086</v>
      </c>
      <c r="H9" s="559">
        <f>F.G.P.INCREMENTO!H12+'F.G.P. ESTIMACIONES 2014'!H12</f>
        <v>5815014.2796540968</v>
      </c>
      <c r="I9" s="559">
        <f>F.G.P.INCREMENTO!I12+'F.G.P. ESTIMACIONES 2014'!I12</f>
        <v>3798785.4157550754</v>
      </c>
      <c r="J9" s="559">
        <f>F.G.P.INCREMENTO!J12+'F.G.P. ESTIMACIONES 2014'!J12</f>
        <v>4409863.0096625257</v>
      </c>
      <c r="K9" s="559">
        <f>F.G.P.INCREMENTO!K12+'F.G.P. ESTIMACIONES 2014'!K12</f>
        <v>3862113.3898572526</v>
      </c>
      <c r="L9" s="559">
        <f>F.G.P.INCREMENTO!L12+'F.G.P. ESTIMACIONES 2014'!L12</f>
        <v>1689263.4488863372</v>
      </c>
      <c r="M9" s="559">
        <f>F.G.P.INCREMENTO!M12+'F.G.P. ESTIMACIONES 2014'!M12</f>
        <v>3863461.3756208639</v>
      </c>
      <c r="N9" s="559">
        <f>F.G.P.INCREMENTO!N12+'F.G.P. ESTIMACIONES 2014'!N12</f>
        <v>3702669.3935987707</v>
      </c>
      <c r="O9" s="560">
        <f t="shared" si="0"/>
        <v>49936012.146628372</v>
      </c>
      <c r="P9" s="561"/>
      <c r="Q9" s="561"/>
    </row>
    <row r="10" spans="1:17" x14ac:dyDescent="0.2">
      <c r="A10" s="557" t="s">
        <v>149</v>
      </c>
      <c r="B10" s="577"/>
      <c r="C10" s="559">
        <f>F.G.P.INCREMENTO!C13+'F.G.P. ESTIMACIONES 2014'!C13</f>
        <v>3280221.3140605264</v>
      </c>
      <c r="D10" s="559">
        <f>F.G.P.INCREMENTO!D13+'F.G.P. ESTIMACIONES 2014'!D13</f>
        <v>5015786.9159953836</v>
      </c>
      <c r="E10" s="559">
        <f>F.G.P.INCREMENTO!E13+'F.G.P. ESTIMACIONES 2014'!E13</f>
        <v>2976822.3873676667</v>
      </c>
      <c r="F10" s="559">
        <f>F.G.P.INCREMENTO!F13+'F.G.P. ESTIMACIONES 2014'!F13</f>
        <v>3806815.4565375824</v>
      </c>
      <c r="G10" s="559">
        <f>F.G.P.INCREMENTO!G13+'F.G.P. ESTIMACIONES 2014'!G13</f>
        <v>5142338.1507771835</v>
      </c>
      <c r="H10" s="559">
        <f>F.G.P.INCREMENTO!H13+'F.G.P. ESTIMACIONES 2014'!H13</f>
        <v>5064174.0572411465</v>
      </c>
      <c r="I10" s="559">
        <f>F.G.P.INCREMENTO!I13+'F.G.P. ESTIMACIONES 2014'!I13</f>
        <v>3420807.4347474026</v>
      </c>
      <c r="J10" s="559">
        <f>F.G.P.INCREMENTO!J13+'F.G.P. ESTIMACIONES 2014'!J13</f>
        <v>3900168.0669451971</v>
      </c>
      <c r="K10" s="559">
        <f>F.G.P.INCREMENTO!K13+'F.G.P. ESTIMACIONES 2014'!K13</f>
        <v>3464310.9283112362</v>
      </c>
      <c r="L10" s="559">
        <f>F.G.P.INCREMENTO!L13+'F.G.P. ESTIMACIONES 2014'!L13</f>
        <v>1676250.3571494883</v>
      </c>
      <c r="M10" s="559">
        <f>F.G.P.INCREMENTO!M13+'F.G.P. ESTIMACIONES 2014'!M13</f>
        <v>3442074.2361503844</v>
      </c>
      <c r="N10" s="559">
        <f>F.G.P.INCREMENTO!N13+'F.G.P. ESTIMACIONES 2014'!N13</f>
        <v>3331860.3851706032</v>
      </c>
      <c r="O10" s="560">
        <f t="shared" si="0"/>
        <v>44521629.690453798</v>
      </c>
      <c r="P10" s="561"/>
      <c r="Q10" s="561"/>
    </row>
    <row r="11" spans="1:17" x14ac:dyDescent="0.2">
      <c r="A11" s="557" t="s">
        <v>150</v>
      </c>
      <c r="B11" s="577"/>
      <c r="C11" s="559">
        <f>F.G.P.INCREMENTO!C14+'F.G.P. ESTIMACIONES 2014'!C14</f>
        <v>4817743.9347613072</v>
      </c>
      <c r="D11" s="559">
        <f>F.G.P.INCREMENTO!D14+'F.G.P. ESTIMACIONES 2014'!D14</f>
        <v>6957790.2868068647</v>
      </c>
      <c r="E11" s="559">
        <f>F.G.P.INCREMENTO!E14+'F.G.P. ESTIMACIONES 2014'!E14</f>
        <v>4451165.3427661769</v>
      </c>
      <c r="F11" s="559">
        <f>F.G.P.INCREMENTO!F14+'F.G.P. ESTIMACIONES 2014'!F14</f>
        <v>5494005.114455753</v>
      </c>
      <c r="G11" s="559">
        <f>F.G.P.INCREMENTO!G14+'F.G.P. ESTIMACIONES 2014'!G14</f>
        <v>6795504.7521313354</v>
      </c>
      <c r="H11" s="559">
        <f>F.G.P.INCREMENTO!H14+'F.G.P. ESTIMACIONES 2014'!H14</f>
        <v>6665984.7694807341</v>
      </c>
      <c r="I11" s="559">
        <f>F.G.P.INCREMENTO!I14+'F.G.P. ESTIMACIONES 2014'!I14</f>
        <v>5079351.0093360618</v>
      </c>
      <c r="J11" s="559">
        <f>F.G.P.INCREMENTO!J14+'F.G.P. ESTIMACIONES 2014'!J14</f>
        <v>5439735.8791454472</v>
      </c>
      <c r="K11" s="559">
        <f>F.G.P.INCREMENTO!K14+'F.G.P. ESTIMACIONES 2014'!K14</f>
        <v>5076937.4166278932</v>
      </c>
      <c r="L11" s="559">
        <f>F.G.P.INCREMENTO!L14+'F.G.P. ESTIMACIONES 2014'!L14</f>
        <v>3257337.4898593565</v>
      </c>
      <c r="M11" s="559">
        <f>F.G.P.INCREMENTO!M14+'F.G.P. ESTIMACIONES 2014'!M14</f>
        <v>4927720.2116995193</v>
      </c>
      <c r="N11" s="559">
        <f>F.G.P.INCREMENTO!N14+'F.G.P. ESTIMACIONES 2014'!N14</f>
        <v>4935413.7521776948</v>
      </c>
      <c r="O11" s="560">
        <f t="shared" si="0"/>
        <v>63898689.959248148</v>
      </c>
      <c r="P11" s="561"/>
      <c r="Q11" s="561"/>
    </row>
    <row r="12" spans="1:17" x14ac:dyDescent="0.2">
      <c r="A12" s="557" t="s">
        <v>151</v>
      </c>
      <c r="B12" s="577"/>
      <c r="C12" s="559">
        <f>F.G.P.INCREMENTO!C15+'F.G.P. ESTIMACIONES 2014'!C15</f>
        <v>4155555.9003632739</v>
      </c>
      <c r="D12" s="559">
        <f>F.G.P.INCREMENTO!D15+'F.G.P. ESTIMACIONES 2014'!D15</f>
        <v>5963669.6127123199</v>
      </c>
      <c r="E12" s="559">
        <f>F.G.P.INCREMENTO!E15+'F.G.P. ESTIMACIONES 2014'!E15</f>
        <v>3846664.0981977778</v>
      </c>
      <c r="F12" s="559">
        <f>F.G.P.INCREMENTO!F15+'F.G.P. ESTIMACIONES 2014'!F15</f>
        <v>4729890.1658970416</v>
      </c>
      <c r="G12" s="559">
        <f>F.G.P.INCREMENTO!G15+'F.G.P. ESTIMACIONES 2014'!G15</f>
        <v>5791525.147566257</v>
      </c>
      <c r="H12" s="559">
        <f>F.G.P.INCREMENTO!H15+'F.G.P. ESTIMACIONES 2014'!H15</f>
        <v>5678447.6154075526</v>
      </c>
      <c r="I12" s="559">
        <f>F.G.P.INCREMENTO!I15+'F.G.P. ESTIMACIONES 2014'!I15</f>
        <v>4386298.4389179973</v>
      </c>
      <c r="J12" s="559">
        <f>F.G.P.INCREMENTO!J15+'F.G.P. ESTIMACIONES 2014'!J15</f>
        <v>4665399.3550995272</v>
      </c>
      <c r="K12" s="559">
        <f>F.G.P.INCREMENTO!K15+'F.G.P. ESTIMACIONES 2014'!K15</f>
        <v>4378090.612674349</v>
      </c>
      <c r="L12" s="559">
        <f>F.G.P.INCREMENTO!L15+'F.G.P. ESTIMACIONES 2014'!L15</f>
        <v>2883106.5966879372</v>
      </c>
      <c r="M12" s="559">
        <f>F.G.P.INCREMENTO!M15+'F.G.P. ESTIMACIONES 2014'!M15</f>
        <v>4238614.6485789753</v>
      </c>
      <c r="N12" s="559">
        <f>F.G.P.INCREMENTO!N15+'F.G.P. ESTIMACIONES 2014'!N15</f>
        <v>4260916.4357785173</v>
      </c>
      <c r="O12" s="560">
        <f t="shared" si="0"/>
        <v>54978178.627881527</v>
      </c>
      <c r="P12" s="561"/>
      <c r="Q12" s="561"/>
    </row>
    <row r="13" spans="1:17" x14ac:dyDescent="0.2">
      <c r="A13" s="557" t="s">
        <v>152</v>
      </c>
      <c r="B13" s="577"/>
      <c r="C13" s="559">
        <f>F.G.P.INCREMENTO!C16+'F.G.P. ESTIMACIONES 2014'!C16</f>
        <v>3327880.4672959037</v>
      </c>
      <c r="D13" s="559">
        <f>F.G.P.INCREMENTO!D16+'F.G.P. ESTIMACIONES 2014'!D16</f>
        <v>5067258.0222153161</v>
      </c>
      <c r="E13" s="559">
        <f>F.G.P.INCREMENTO!E16+'F.G.P. ESTIMACIONES 2014'!E16</f>
        <v>3024209.1467292858</v>
      </c>
      <c r="F13" s="559">
        <f>F.G.P.INCREMENTO!F16+'F.G.P. ESTIMACIONES 2014'!F16</f>
        <v>3857041.1110018268</v>
      </c>
      <c r="G13" s="559">
        <f>F.G.P.INCREMENTO!G16+'F.G.P. ESTIMACIONES 2014'!G16</f>
        <v>5177428.723358294</v>
      </c>
      <c r="H13" s="559">
        <f>F.G.P.INCREMENTO!H16+'F.G.P. ESTIMACIONES 2014'!H16</f>
        <v>5097358.7374328393</v>
      </c>
      <c r="I13" s="559">
        <f>F.G.P.INCREMENTO!I16+'F.G.P. ESTIMACIONES 2014'!I16</f>
        <v>3473393.9213565285</v>
      </c>
      <c r="J13" s="559">
        <f>F.G.P.INCREMENTO!J16+'F.G.P. ESTIMACIONES 2014'!J16</f>
        <v>3941735.0583089916</v>
      </c>
      <c r="K13" s="559">
        <f>F.G.P.INCREMENTO!K16+'F.G.P. ESTIMACIONES 2014'!K16</f>
        <v>3514059.518680207</v>
      </c>
      <c r="L13" s="559">
        <f>F.G.P.INCREMENTO!L16+'F.G.P. ESTIMACIONES 2014'!L16</f>
        <v>1742228.2667013525</v>
      </c>
      <c r="M13" s="559">
        <f>F.G.P.INCREMENTO!M16+'F.G.P. ESTIMACIONES 2014'!M16</f>
        <v>3485400.1832485576</v>
      </c>
      <c r="N13" s="559">
        <f>F.G.P.INCREMENTO!N16+'F.G.P. ESTIMACIONES 2014'!N16</f>
        <v>3382458.6170654036</v>
      </c>
      <c r="O13" s="560">
        <f t="shared" si="0"/>
        <v>45090451.77339451</v>
      </c>
      <c r="P13" s="561"/>
      <c r="Q13" s="561"/>
    </row>
    <row r="14" spans="1:17" x14ac:dyDescent="0.2">
      <c r="A14" s="557" t="s">
        <v>153</v>
      </c>
      <c r="B14" s="577"/>
      <c r="C14" s="559">
        <f>F.G.P.INCREMENTO!C17+'F.G.P. ESTIMACIONES 2014'!C17</f>
        <v>4614333.1665896252</v>
      </c>
      <c r="D14" s="559">
        <f>F.G.P.INCREMENTO!D17+'F.G.P. ESTIMACIONES 2014'!D17</f>
        <v>6747626.04450808</v>
      </c>
      <c r="E14" s="559">
        <f>F.G.P.INCREMENTO!E17+'F.G.P. ESTIMACIONES 2014'!E17</f>
        <v>4247078.4735712111</v>
      </c>
      <c r="F14" s="559">
        <f>F.G.P.INCREMENTO!F17+'F.G.P. ESTIMACIONES 2014'!F17</f>
        <v>5281900.9227024894</v>
      </c>
      <c r="G14" s="559">
        <f>F.G.P.INCREMENTO!G17+'F.G.P. ESTIMACIONES 2014'!G17</f>
        <v>6663353.0849491395</v>
      </c>
      <c r="H14" s="559">
        <f>F.G.P.INCREMENTO!H17+'F.G.P. ESTIMACIONES 2014'!H17</f>
        <v>6542309.9400706328</v>
      </c>
      <c r="I14" s="559">
        <f>F.G.P.INCREMENTO!I17+'F.G.P. ESTIMACIONES 2014'!I17</f>
        <v>4853627.7312258799</v>
      </c>
      <c r="J14" s="559">
        <f>F.G.P.INCREMENTO!J17+'F.G.P. ESTIMACIONES 2014'!J17</f>
        <v>5269039.6262295675</v>
      </c>
      <c r="K14" s="559">
        <f>F.G.P.INCREMENTO!K17+'F.G.P. ESTIMACIONES 2014'!K17</f>
        <v>4864869.0551034827</v>
      </c>
      <c r="L14" s="559">
        <f>F.G.P.INCREMENTO!L17+'F.G.P. ESTIMACIONES 2014'!L17</f>
        <v>2957236.7436155686</v>
      </c>
      <c r="M14" s="559">
        <f>F.G.P.INCREMENTO!M17+'F.G.P. ESTIMACIONES 2014'!M17</f>
        <v>4745775.6491722772</v>
      </c>
      <c r="N14" s="559">
        <f>F.G.P.INCREMENTO!N17+'F.G.P. ESTIMACIONES 2014'!N17</f>
        <v>4718485.8017569929</v>
      </c>
      <c r="O14" s="560">
        <f t="shared" si="0"/>
        <v>61505636.239494942</v>
      </c>
      <c r="P14" s="561"/>
      <c r="Q14" s="561"/>
    </row>
    <row r="15" spans="1:17" x14ac:dyDescent="0.2">
      <c r="A15" s="557" t="s">
        <v>154</v>
      </c>
      <c r="B15" s="577"/>
      <c r="C15" s="559">
        <f>F.G.P.INCREMENTO!C18+'F.G.P. ESTIMACIONES 2014'!C18</f>
        <v>4635899.3255704027</v>
      </c>
      <c r="D15" s="559">
        <f>F.G.P.INCREMENTO!D18+'F.G.P. ESTIMACIONES 2014'!D18</f>
        <v>6565554.7877853122</v>
      </c>
      <c r="E15" s="559">
        <f>F.G.P.INCREMENTO!E18+'F.G.P. ESTIMACIONES 2014'!E18</f>
        <v>4308201.3415805707</v>
      </c>
      <c r="F15" s="559">
        <f>F.G.P.INCREMENTO!F18+'F.G.P. ESTIMACIONES 2014'!F18</f>
        <v>5255845.8216057569</v>
      </c>
      <c r="G15" s="559">
        <f>F.G.P.INCREMENTO!G18+'F.G.P. ESTIMACIONES 2014'!G18</f>
        <v>6299067.8740676884</v>
      </c>
      <c r="H15" s="559">
        <f>F.G.P.INCREMENTO!H18+'F.G.P. ESTIMACIONES 2014'!H18</f>
        <v>6169772.4727901202</v>
      </c>
      <c r="I15" s="559">
        <f>F.G.P.INCREMENTO!I18+'F.G.P. ESTIMACIONES 2014'!I18</f>
        <v>4905100.5835240688</v>
      </c>
      <c r="J15" s="559">
        <f>F.G.P.INCREMENTO!J18+'F.G.P. ESTIMACIONES 2014'!J18</f>
        <v>5142978.9443489425</v>
      </c>
      <c r="K15" s="559">
        <f>F.G.P.INCREMENTO!K18+'F.G.P. ESTIMACIONES 2014'!K18</f>
        <v>4881765.6400123723</v>
      </c>
      <c r="L15" s="559">
        <f>F.G.P.INCREMENTO!L18+'F.G.P. ESTIMACIONES 2014'!L18</f>
        <v>3386440.2687599827</v>
      </c>
      <c r="M15" s="559">
        <f>F.G.P.INCREMENTO!M18+'F.G.P. ESTIMACIONES 2014'!M18</f>
        <v>4701244.6214393117</v>
      </c>
      <c r="N15" s="559">
        <f>F.G.P.INCREMENTO!N18+'F.G.P. ESTIMACIONES 2014'!N18</f>
        <v>4762382.0450475635</v>
      </c>
      <c r="O15" s="560">
        <f t="shared" si="0"/>
        <v>61014253.726532087</v>
      </c>
      <c r="P15" s="561"/>
      <c r="Q15" s="561"/>
    </row>
    <row r="16" spans="1:17" x14ac:dyDescent="0.2">
      <c r="A16" s="557" t="s">
        <v>155</v>
      </c>
      <c r="B16" s="577"/>
      <c r="C16" s="559">
        <f>F.G.P.INCREMENTO!C19+'F.G.P. ESTIMACIONES 2014'!C19</f>
        <v>6586331.8405063059</v>
      </c>
      <c r="D16" s="559">
        <f>F.G.P.INCREMENTO!D19+'F.G.P. ESTIMACIONES 2014'!D19</f>
        <v>9346214.3379235789</v>
      </c>
      <c r="E16" s="559">
        <f>F.G.P.INCREMENTO!E19+'F.G.P. ESTIMACIONES 2014'!E19</f>
        <v>6117213.0935135018</v>
      </c>
      <c r="F16" s="559">
        <f>F.G.P.INCREMENTO!F19+'F.G.P. ESTIMACIONES 2014'!F19</f>
        <v>7471469.4458230762</v>
      </c>
      <c r="G16" s="559">
        <f>F.G.P.INCREMENTO!G19+'F.G.P. ESTIMACIONES 2014'!G19</f>
        <v>8983250.9080341365</v>
      </c>
      <c r="H16" s="559">
        <f>F.G.P.INCREMENTO!H19+'F.G.P. ESTIMACIONES 2014'!H19</f>
        <v>8800219.0966304485</v>
      </c>
      <c r="I16" s="559">
        <f>F.G.P.INCREMENTO!I19+'F.G.P. ESTIMACIONES 2014'!I19</f>
        <v>6966315.9610159695</v>
      </c>
      <c r="J16" s="559">
        <f>F.G.P.INCREMENTO!J19+'F.G.P. ESTIMACIONES 2014'!J19</f>
        <v>7319714.4803167619</v>
      </c>
      <c r="K16" s="559">
        <f>F.G.P.INCREMENTO!K19+'F.G.P. ESTIMACIONES 2014'!K19</f>
        <v>6936142.3520550095</v>
      </c>
      <c r="L16" s="559">
        <f>F.G.P.INCREMENTO!L19+'F.G.P. ESTIMACIONES 2014'!L19</f>
        <v>4775463.0966427457</v>
      </c>
      <c r="M16" s="559">
        <f>F.G.P.INCREMENTO!M19+'F.G.P. ESTIMACIONES 2014'!M19</f>
        <v>6684908.2179978862</v>
      </c>
      <c r="N16" s="559">
        <f>F.G.P.INCREMENTO!N19+'F.G.P. ESTIMACIONES 2014'!N19</f>
        <v>6764149.790936837</v>
      </c>
      <c r="O16" s="560">
        <f t="shared" si="0"/>
        <v>86751392.621396258</v>
      </c>
      <c r="P16" s="561"/>
      <c r="Q16" s="561"/>
    </row>
    <row r="17" spans="1:20" x14ac:dyDescent="0.2">
      <c r="A17" s="557" t="s">
        <v>277</v>
      </c>
      <c r="B17" s="577"/>
      <c r="C17" s="559">
        <f>F.G.P.INCREMENTO!C20+'F.G.P. ESTIMACIONES 2014'!C20</f>
        <v>3439388.4169790372</v>
      </c>
      <c r="D17" s="559">
        <f>F.G.P.INCREMENTO!D20+'F.G.P. ESTIMACIONES 2014'!D20</f>
        <v>5023591.2845057771</v>
      </c>
      <c r="E17" s="559">
        <f>F.G.P.INCREMENTO!E20+'F.G.P. ESTIMACIONES 2014'!E20</f>
        <v>3166785.8077613944</v>
      </c>
      <c r="F17" s="559">
        <f>F.G.P.INCREMENTO!F20+'F.G.P. ESTIMACIONES 2014'!F20</f>
        <v>3935574.4459871482</v>
      </c>
      <c r="G17" s="559">
        <f>F.G.P.INCREMENTO!G20+'F.G.P. ESTIMACIONES 2014'!G20</f>
        <v>4955762.3674178859</v>
      </c>
      <c r="H17" s="559">
        <f>F.G.P.INCREMENTO!H20+'F.G.P. ESTIMACIONES 2014'!H20</f>
        <v>4865328.3791475948</v>
      </c>
      <c r="I17" s="559">
        <f>F.G.P.INCREMENTO!I20+'F.G.P. ESTIMACIONES 2014'!I20</f>
        <v>3618545.4957012073</v>
      </c>
      <c r="J17" s="559">
        <f>F.G.P.INCREMENTO!J20+'F.G.P. ESTIMACIONES 2014'!J20</f>
        <v>3923231.6655517793</v>
      </c>
      <c r="K17" s="559">
        <f>F.G.P.INCREMENTO!K20+'F.G.P. ESTIMACIONES 2014'!K20</f>
        <v>3625969.4372562952</v>
      </c>
      <c r="L17" s="559">
        <f>F.G.P.INCREMENTO!L20+'F.G.P. ESTIMACIONES 2014'!L20</f>
        <v>2215693.0376294241</v>
      </c>
      <c r="M17" s="559">
        <f>F.G.P.INCREMENTO!M20+'F.G.P. ESTIMACIONES 2014'!M20</f>
        <v>3535521.9783929661</v>
      </c>
      <c r="N17" s="559">
        <f>F.G.P.INCREMENTO!N20+'F.G.P. ESTIMACIONES 2014'!N20</f>
        <v>3517623.1380958939</v>
      </c>
      <c r="O17" s="560">
        <f t="shared" si="0"/>
        <v>45823015.4544264</v>
      </c>
      <c r="P17" s="561"/>
      <c r="Q17" s="561"/>
    </row>
    <row r="18" spans="1:20" x14ac:dyDescent="0.2">
      <c r="A18" s="557" t="s">
        <v>278</v>
      </c>
      <c r="B18" s="577"/>
      <c r="C18" s="559">
        <f>F.G.P.INCREMENTO!C21+'F.G.P. ESTIMACIONES 2014'!C21</f>
        <v>4411623.3524866551</v>
      </c>
      <c r="D18" s="559">
        <f>F.G.P.INCREMENTO!D21+'F.G.P. ESTIMACIONES 2014'!D21</f>
        <v>6408739.2380011482</v>
      </c>
      <c r="E18" s="559">
        <f>F.G.P.INCREMENTO!E21+'F.G.P. ESTIMACIONES 2014'!E21</f>
        <v>4068706.5058747455</v>
      </c>
      <c r="F18" s="559">
        <f>F.G.P.INCREMENTO!F21+'F.G.P. ESTIMACIONES 2014'!F21</f>
        <v>5039778.3167440025</v>
      </c>
      <c r="G18" s="559">
        <f>F.G.P.INCREMENTO!G21+'F.G.P. ESTIMACIONES 2014'!G21</f>
        <v>6292026.6845326163</v>
      </c>
      <c r="H18" s="559">
        <f>F.G.P.INCREMENTO!H21+'F.G.P. ESTIMACIONES 2014'!H21</f>
        <v>6174773.1116769332</v>
      </c>
      <c r="I18" s="559">
        <f>F.G.P.INCREMENTO!I21+'F.G.P. ESTIMACIONES 2014'!I21</f>
        <v>4646128.0605954975</v>
      </c>
      <c r="J18" s="559">
        <f>F.G.P.INCREMENTO!J21+'F.G.P. ESTIMACIONES 2014'!J21</f>
        <v>5007615.1108915769</v>
      </c>
      <c r="K18" s="559">
        <f>F.G.P.INCREMENTO!K21+'F.G.P. ESTIMACIONES 2014'!K21</f>
        <v>4649992.1198286638</v>
      </c>
      <c r="L18" s="559">
        <f>F.G.P.INCREMENTO!L21+'F.G.P. ESTIMACIONES 2014'!L21</f>
        <v>2909892.5897211372</v>
      </c>
      <c r="M18" s="559">
        <f>F.G.P.INCREMENTO!M21+'F.G.P. ESTIMACIONES 2014'!M21</f>
        <v>4524030.7564941542</v>
      </c>
      <c r="N18" s="559">
        <f>F.G.P.INCREMENTO!N21+'F.G.P. ESTIMACIONES 2014'!N21</f>
        <v>4515542.47109426</v>
      </c>
      <c r="O18" s="560">
        <f t="shared" si="0"/>
        <v>58648848.317941397</v>
      </c>
      <c r="P18" s="561"/>
      <c r="Q18" s="561"/>
    </row>
    <row r="19" spans="1:20" x14ac:dyDescent="0.2">
      <c r="A19" s="557" t="s">
        <v>279</v>
      </c>
      <c r="B19" s="577"/>
      <c r="C19" s="559">
        <f>F.G.P.INCREMENTO!C22+'F.G.P. ESTIMACIONES 2014'!C22</f>
        <v>11052313.607337093</v>
      </c>
      <c r="D19" s="559">
        <f>F.G.P.INCREMENTO!D22+'F.G.P. ESTIMACIONES 2014'!D22</f>
        <v>15473053.171831638</v>
      </c>
      <c r="E19" s="559">
        <f>F.G.P.INCREMENTO!E22+'F.G.P. ESTIMACIONES 2014'!E22</f>
        <v>10305779.097995292</v>
      </c>
      <c r="F19" s="559">
        <f>F.G.P.INCREMENTO!F22+'F.G.P. ESTIMACIONES 2014'!F22</f>
        <v>12487624.34064595</v>
      </c>
      <c r="G19" s="559">
        <f>F.G.P.INCREMENTO!G22+'F.G.P. ESTIMACIONES 2014'!G22</f>
        <v>14684774.426369894</v>
      </c>
      <c r="H19" s="559">
        <f>F.G.P.INCREMENTO!H22+'F.G.P. ESTIMACIONES 2014'!H22</f>
        <v>14370058.749404036</v>
      </c>
      <c r="I19" s="559">
        <f>F.G.P.INCREMENTO!I22+'F.G.P. ESTIMACIONES 2014'!I22</f>
        <v>11718326.517255522</v>
      </c>
      <c r="J19" s="559">
        <f>F.G.P.INCREMENTO!J22+'F.G.P. ESTIMACIONES 2014'!J22</f>
        <v>12134463.185779832</v>
      </c>
      <c r="K19" s="559">
        <f>F.G.P.INCREMENTO!K22+'F.G.P. ESTIMACIONES 2014'!K22</f>
        <v>11633563.088614753</v>
      </c>
      <c r="L19" s="559">
        <f>F.G.P.INCREMENTO!L22+'F.G.P. ESTIMACIONES 2014'!L22</f>
        <v>8422952.018610796</v>
      </c>
      <c r="M19" s="559">
        <f>F.G.P.INCREMENTO!M22+'F.G.P. ESTIMACIONES 2014'!M22</f>
        <v>11151980.800038133</v>
      </c>
      <c r="N19" s="559">
        <f>F.G.P.INCREMENTO!N22+'F.G.P. ESTIMACIONES 2014'!N22</f>
        <v>11372232.943773493</v>
      </c>
      <c r="O19" s="560">
        <f t="shared" si="0"/>
        <v>144807121.94765639</v>
      </c>
      <c r="P19" s="561"/>
      <c r="Q19" s="561"/>
    </row>
    <row r="20" spans="1:20" x14ac:dyDescent="0.2">
      <c r="A20" s="557" t="s">
        <v>159</v>
      </c>
      <c r="B20" s="577"/>
      <c r="C20" s="559">
        <f>F.G.P.INCREMENTO!C23+'F.G.P. ESTIMACIONES 2014'!C23</f>
        <v>5789242.7231574133</v>
      </c>
      <c r="D20" s="559">
        <f>F.G.P.INCREMENTO!D23+'F.G.P. ESTIMACIONES 2014'!D23</f>
        <v>8494003.2372276857</v>
      </c>
      <c r="E20" s="559">
        <f>F.G.P.INCREMENTO!E23+'F.G.P. ESTIMACIONES 2014'!E23</f>
        <v>5323011.8145344295</v>
      </c>
      <c r="F20" s="559">
        <f>F.G.P.INCREMENTO!F23+'F.G.P. ESTIMACIONES 2014'!F23</f>
        <v>6633506.6535800844</v>
      </c>
      <c r="G20" s="559">
        <f>F.G.P.INCREMENTO!G23+'F.G.P. ESTIMACIONES 2014'!G23</f>
        <v>8412348.2560071163</v>
      </c>
      <c r="H20" s="559">
        <f>F.G.P.INCREMENTO!H23+'F.G.P. ESTIMACIONES 2014'!H23</f>
        <v>8261502.7067951718</v>
      </c>
      <c r="I20" s="559">
        <f>F.G.P.INCREMENTO!I23+'F.G.P. ESTIMACIONES 2014'!I23</f>
        <v>6085654.8851097766</v>
      </c>
      <c r="J20" s="559">
        <f>F.G.P.INCREMENTO!J23+'F.G.P. ESTIMACIONES 2014'!J23</f>
        <v>6630604.8706894591</v>
      </c>
      <c r="K20" s="559">
        <f>F.G.P.INCREMENTO!K23+'F.G.P. ESTIMACIONES 2014'!K23</f>
        <v>6104343.8678072412</v>
      </c>
      <c r="L20" s="559">
        <f>F.G.P.INCREMENTO!L23+'F.G.P. ESTIMACIONES 2014'!L23</f>
        <v>3655210.687382089</v>
      </c>
      <c r="M20" s="559">
        <f>F.G.P.INCREMENTO!M23+'F.G.P. ESTIMACIONES 2014'!M23</f>
        <v>5962986.9248220669</v>
      </c>
      <c r="N20" s="559">
        <f>F.G.P.INCREMENTO!N23+'F.G.P. ESTIMACIONES 2014'!N23</f>
        <v>5917022.5029967297</v>
      </c>
      <c r="O20" s="560">
        <f t="shared" si="0"/>
        <v>77269439.130109251</v>
      </c>
      <c r="P20" s="561"/>
      <c r="Q20" s="561"/>
    </row>
    <row r="21" spans="1:20" x14ac:dyDescent="0.2">
      <c r="A21" s="557" t="s">
        <v>160</v>
      </c>
      <c r="B21" s="577"/>
      <c r="C21" s="559">
        <f>F.G.P.INCREMENTO!C24+'F.G.P. ESTIMACIONES 2014'!C24</f>
        <v>46152108.634450719</v>
      </c>
      <c r="D21" s="559">
        <f>F.G.P.INCREMENTO!D24+'F.G.P. ESTIMACIONES 2014'!D24</f>
        <v>62741952.117950827</v>
      </c>
      <c r="E21" s="559">
        <f>F.G.P.INCREMENTO!E24+'F.G.P. ESTIMACIONES 2014'!E24</f>
        <v>43396102.776973695</v>
      </c>
      <c r="F21" s="559">
        <f>F.G.P.INCREMENTO!F24+'F.G.P. ESTIMACIONES 2014'!F24</f>
        <v>51701399.996396467</v>
      </c>
      <c r="G21" s="559">
        <f>F.G.P.INCREMENTO!G24+'F.G.P. ESTIMACIONES 2014'!G24</f>
        <v>57858358.999786302</v>
      </c>
      <c r="H21" s="559">
        <f>F.G.P.INCREMENTO!H24+'F.G.P. ESTIMACIONES 2014'!H24</f>
        <v>56476874.606235087</v>
      </c>
      <c r="I21" s="559">
        <f>F.G.P.INCREMENTO!I24+'F.G.P. ESTIMACIONES 2014'!I24</f>
        <v>49185289.999031857</v>
      </c>
      <c r="J21" s="559">
        <f>F.G.P.INCREMENTO!J24+'F.G.P. ESTIMACIONES 2014'!J24</f>
        <v>49351610.898067161</v>
      </c>
      <c r="K21" s="559">
        <f>F.G.P.INCREMENTO!K24+'F.G.P. ESTIMACIONES 2014'!K24</f>
        <v>48528146.663109258</v>
      </c>
      <c r="L21" s="559">
        <f>F.G.P.INCREMENTO!L24+'F.G.P. ESTIMACIONES 2014'!L24</f>
        <v>38809294.691738114</v>
      </c>
      <c r="M21" s="559">
        <f>F.G.P.INCREMENTO!M24+'F.G.P. ESTIMACIONES 2014'!M24</f>
        <v>45984211.138337761</v>
      </c>
      <c r="N21" s="559">
        <f>F.G.P.INCREMENTO!N24+'F.G.P. ESTIMACIONES 2014'!N24</f>
        <v>47679270.686303556</v>
      </c>
      <c r="O21" s="560">
        <f t="shared" si="0"/>
        <v>597864621.20838094</v>
      </c>
      <c r="P21" s="561"/>
      <c r="Q21" s="561"/>
      <c r="T21" s="561"/>
    </row>
    <row r="22" spans="1:20" x14ac:dyDescent="0.2">
      <c r="A22" s="557" t="s">
        <v>161</v>
      </c>
      <c r="B22" s="577"/>
      <c r="C22" s="559">
        <f>F.G.P.INCREMENTO!C25+'F.G.P. ESTIMACIONES 2014'!C25</f>
        <v>5147900.0898600528</v>
      </c>
      <c r="D22" s="559">
        <f>F.G.P.INCREMENTO!D25+'F.G.P. ESTIMACIONES 2014'!D25</f>
        <v>7249347.7558191586</v>
      </c>
      <c r="E22" s="559">
        <f>F.G.P.INCREMENTO!E25+'F.G.P. ESTIMACIONES 2014'!E25</f>
        <v>4791994.8753004745</v>
      </c>
      <c r="F22" s="559">
        <f>F.G.P.INCREMENTO!F25+'F.G.P. ESTIMACIONES 2014'!F25</f>
        <v>5826498.823491754</v>
      </c>
      <c r="G22" s="559">
        <f>F.G.P.INCREMENTO!G25+'F.G.P. ESTIMACIONES 2014'!G25</f>
        <v>6918254.9471731009</v>
      </c>
      <c r="H22" s="559">
        <f>F.G.P.INCREMENTO!H25+'F.G.P. ESTIMACIONES 2014'!H25</f>
        <v>6773192.8114327025</v>
      </c>
      <c r="I22" s="559">
        <f>F.G.P.INCREMENTO!I25+'F.G.P. ESTIMACIONES 2014'!I25</f>
        <v>5452401.9342747303</v>
      </c>
      <c r="J22" s="559">
        <f>F.G.P.INCREMENTO!J25+'F.G.P. ESTIMACIONES 2014'!J25</f>
        <v>5681831.4733626079</v>
      </c>
      <c r="K22" s="559">
        <f>F.G.P.INCREMENTO!K25+'F.G.P. ESTIMACIONES 2014'!K25</f>
        <v>5419790.6302348804</v>
      </c>
      <c r="L22" s="559">
        <f>F.G.P.INCREMENTO!L25+'F.G.P. ESTIMACIONES 2014'!L25</f>
        <v>3840806.1668465803</v>
      </c>
      <c r="M22" s="559">
        <f>F.G.P.INCREMENTO!M25+'F.G.P. ESTIMACIONES 2014'!M25</f>
        <v>5207556.4733950598</v>
      </c>
      <c r="N22" s="559">
        <f>F.G.P.INCREMENTO!N25+'F.G.P. ESTIMACIONES 2014'!N25</f>
        <v>5292577.6316370647</v>
      </c>
      <c r="O22" s="560">
        <f t="shared" si="0"/>
        <v>67602153.612828165</v>
      </c>
      <c r="P22" s="561"/>
      <c r="Q22" s="561"/>
      <c r="T22" s="561"/>
    </row>
    <row r="23" spans="1:20" ht="13.5" thickBot="1" x14ac:dyDescent="0.25">
      <c r="A23" s="557" t="s">
        <v>162</v>
      </c>
      <c r="B23" s="577"/>
      <c r="C23" s="559">
        <f>F.G.P.INCREMENTO!C26+'F.G.P. ESTIMACIONES 2014'!C26</f>
        <v>5712999.9405588899</v>
      </c>
      <c r="D23" s="559">
        <f>F.G.P.INCREMENTO!D26+'F.G.P. ESTIMACIONES 2014'!D26</f>
        <v>8540714.830657281</v>
      </c>
      <c r="E23" s="559">
        <f>F.G.P.INCREMENTO!E26+'F.G.P. ESTIMACIONES 2014'!E26</f>
        <v>5222269.3512882553</v>
      </c>
      <c r="F23" s="559">
        <f>F.G.P.INCREMENTO!F26+'F.G.P. ESTIMACIONES 2014'!F26</f>
        <v>6583813.78455594</v>
      </c>
      <c r="G23" s="559">
        <f>F.G.P.INCREMENTO!G26+'F.G.P. ESTIMACIONES 2014'!G26</f>
        <v>8595112.3928939439</v>
      </c>
      <c r="H23" s="559">
        <f>F.G.P.INCREMENTO!H26+'F.G.P. ESTIMACIONES 2014'!H26</f>
        <v>8451959.6652490944</v>
      </c>
      <c r="I23" s="559">
        <f>F.G.P.INCREMENTO!I26+'F.G.P. ESTIMACIONES 2014'!I26</f>
        <v>5984136.9633397702</v>
      </c>
      <c r="J23" s="559">
        <f>F.G.P.INCREMENTO!J26+'F.G.P. ESTIMACIONES 2014'!J26</f>
        <v>6655146.4025042877</v>
      </c>
      <c r="K23" s="559">
        <f>F.G.P.INCREMENTO!K26+'F.G.P. ESTIMACIONES 2014'!K26</f>
        <v>6028287.0884138541</v>
      </c>
      <c r="L23" s="559">
        <f>F.G.P.INCREMENTO!L26+'F.G.P. ESTIMACIONES 2014'!L26</f>
        <v>3298706.6473280662</v>
      </c>
      <c r="M23" s="559">
        <f>F.G.P.INCREMENTO!M26+'F.G.P. ESTIMACIONES 2014'!M26</f>
        <v>5933980.3810486551</v>
      </c>
      <c r="N23" s="559">
        <f>F.G.P.INCREMENTO!N26+'F.G.P. ESTIMACIONES 2014'!N26</f>
        <v>5822881.1550717279</v>
      </c>
      <c r="O23" s="560">
        <f t="shared" si="0"/>
        <v>76830008.602909774</v>
      </c>
      <c r="P23" s="561"/>
      <c r="Q23" s="561"/>
      <c r="T23" s="561"/>
    </row>
    <row r="24" spans="1:20" ht="13.5" thickBot="1" x14ac:dyDescent="0.25">
      <c r="A24" s="562" t="s">
        <v>280</v>
      </c>
      <c r="B24" s="578">
        <f>SUM(B4:B23)</f>
        <v>0</v>
      </c>
      <c r="C24" s="564">
        <f>SUM(C4:C23)</f>
        <v>146742608.92500001</v>
      </c>
      <c r="D24" s="564">
        <f t="shared" ref="D24:N24" si="1">SUM(D4:D23)</f>
        <v>210245430.15000001</v>
      </c>
      <c r="E24" s="564">
        <f t="shared" si="1"/>
        <v>135901754.09999999</v>
      </c>
      <c r="F24" s="564">
        <f t="shared" si="1"/>
        <v>166941535.27500001</v>
      </c>
      <c r="G24" s="564">
        <f t="shared" si="1"/>
        <v>203872091.84999996</v>
      </c>
      <c r="H24" s="564">
        <f t="shared" si="1"/>
        <v>199866603.59999996</v>
      </c>
      <c r="I24" s="564">
        <f t="shared" si="1"/>
        <v>154937309.62500003</v>
      </c>
      <c r="J24" s="564">
        <f t="shared" si="1"/>
        <v>164502322.42500001</v>
      </c>
      <c r="K24" s="564">
        <f t="shared" si="1"/>
        <v>154591381.125</v>
      </c>
      <c r="L24" s="564">
        <f t="shared" si="1"/>
        <v>102482205.075</v>
      </c>
      <c r="M24" s="564">
        <f t="shared" si="1"/>
        <v>149567554.79999992</v>
      </c>
      <c r="N24" s="564">
        <f t="shared" si="1"/>
        <v>150498522.22499999</v>
      </c>
      <c r="O24" s="564">
        <f>SUM(C24:N24)</f>
        <v>1940149319.1749997</v>
      </c>
      <c r="P24" s="561"/>
      <c r="Q24" s="561"/>
      <c r="T24" s="561"/>
    </row>
    <row r="25" spans="1:20" x14ac:dyDescent="0.2">
      <c r="A25" s="566" t="s">
        <v>281</v>
      </c>
    </row>
    <row r="39" spans="13:13" x14ac:dyDescent="0.2">
      <c r="M39" s="552" t="s">
        <v>325</v>
      </c>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R28"/>
  <sheetViews>
    <sheetView workbookViewId="0">
      <selection sqref="A1:O1"/>
    </sheetView>
  </sheetViews>
  <sheetFormatPr baseColWidth="10" defaultRowHeight="12.75" x14ac:dyDescent="0.2"/>
  <cols>
    <col min="1" max="1" width="16" style="552" customWidth="1"/>
    <col min="2" max="2" width="9.28515625" style="552" hidden="1" customWidth="1"/>
    <col min="3" max="10" width="9.7109375" style="552" customWidth="1"/>
    <col min="11" max="11" width="11.7109375" style="552" customWidth="1"/>
    <col min="12" max="15" width="9.7109375" style="552" customWidth="1"/>
    <col min="16" max="17" width="11.42578125" style="552"/>
    <col min="18" max="18" width="13.7109375" style="552" bestFit="1" customWidth="1"/>
    <col min="19" max="16384" width="11.42578125" style="552"/>
  </cols>
  <sheetData>
    <row r="1" spans="1:15" x14ac:dyDescent="0.2">
      <c r="A1" s="1215" t="s">
        <v>496</v>
      </c>
      <c r="B1" s="1215"/>
      <c r="C1" s="1215"/>
      <c r="D1" s="1215"/>
      <c r="E1" s="1215"/>
      <c r="F1" s="1215"/>
      <c r="G1" s="1215"/>
      <c r="H1" s="1215"/>
      <c r="I1" s="1215"/>
      <c r="J1" s="1215"/>
      <c r="K1" s="1215"/>
      <c r="L1" s="1215"/>
      <c r="M1" s="1215"/>
      <c r="N1" s="1215"/>
      <c r="O1" s="1215"/>
    </row>
    <row r="2" spans="1:15" ht="13.5" thickBot="1" x14ac:dyDescent="0.25"/>
    <row r="3" spans="1:15" ht="34.5" thickBot="1" x14ac:dyDescent="0.25">
      <c r="A3" s="847" t="s">
        <v>307</v>
      </c>
      <c r="B3" s="851" t="s">
        <v>273</v>
      </c>
      <c r="C3" s="847" t="s">
        <v>1</v>
      </c>
      <c r="D3" s="849" t="s">
        <v>2</v>
      </c>
      <c r="E3" s="847" t="s">
        <v>3</v>
      </c>
      <c r="F3" s="849" t="s">
        <v>4</v>
      </c>
      <c r="G3" s="847" t="s">
        <v>5</v>
      </c>
      <c r="H3" s="847" t="s">
        <v>6</v>
      </c>
      <c r="I3" s="847" t="s">
        <v>7</v>
      </c>
      <c r="J3" s="849" t="s">
        <v>8</v>
      </c>
      <c r="K3" s="847" t="s">
        <v>9</v>
      </c>
      <c r="L3" s="849" t="s">
        <v>10</v>
      </c>
      <c r="M3" s="847" t="s">
        <v>11</v>
      </c>
      <c r="N3" s="847" t="s">
        <v>12</v>
      </c>
      <c r="O3" s="850" t="s">
        <v>165</v>
      </c>
    </row>
    <row r="4" spans="1:15" x14ac:dyDescent="0.2">
      <c r="A4" s="557" t="s">
        <v>274</v>
      </c>
      <c r="B4" s="577"/>
      <c r="C4" s="559">
        <f>'F.F.M30%'!C7+'F.F.M.70%'!C7+'F.F.M.ESTIIMACIONES 2014'!C7</f>
        <v>1446432.7076448796</v>
      </c>
      <c r="D4" s="559">
        <f>'F.F.M30%'!D7+'F.F.M.70%'!D7+'F.F.M.ESTIIMACIONES 2014'!D7</f>
        <v>1872973.9819132797</v>
      </c>
      <c r="E4" s="559">
        <f>'F.F.M30%'!E7+'F.F.M.70%'!E7+'F.F.M.ESTIIMACIONES 2014'!E7</f>
        <v>1375300.6084121815</v>
      </c>
      <c r="F4" s="559">
        <f>'F.F.M30%'!F7+'F.F.M.70%'!F7+'F.F.M.ESTIIMACIONES 2014'!F7</f>
        <v>1601927.1487106176</v>
      </c>
      <c r="G4" s="559">
        <f>'F.F.M30%'!G7+'F.F.M.70%'!G7+'F.F.M.ESTIIMACIONES 2014'!G7</f>
        <v>1665128.5483912402</v>
      </c>
      <c r="H4" s="559">
        <f>'F.F.M30%'!H7+'F.F.M.70%'!H7+'F.F.M.ESTIIMACIONES 2014'!H7</f>
        <v>1691967.0784977267</v>
      </c>
      <c r="I4" s="559">
        <f>'F.F.M30%'!I7+'F.F.M.70%'!I7+'F.F.M.ESTIIMACIONES 2014'!I7</f>
        <v>1552783.3664382</v>
      </c>
      <c r="J4" s="559">
        <f>'F.F.M30%'!J7+'F.F.M.70%'!J7+'F.F.M.ESTIIMACIONES 2014'!J7</f>
        <v>1489986.2721525459</v>
      </c>
      <c r="K4" s="559">
        <f>'F.F.M30%'!K7+'F.F.M.70%'!K7+'F.F.M.ESTIIMACIONES 2014'!K7</f>
        <v>1518965.2654635243</v>
      </c>
      <c r="L4" s="559">
        <f>'F.F.M30%'!L7+'F.F.M.70%'!L7+'F.F.M.ESTIIMACIONES 2014'!L7</f>
        <v>1259087.1389236022</v>
      </c>
      <c r="M4" s="559">
        <f>'F.F.M30%'!M7+'F.F.M.70%'!M7+'F.F.M.ESTIIMACIONES 2014'!M7</f>
        <v>1415790.5195847817</v>
      </c>
      <c r="N4" s="559">
        <f>'F.F.M30%'!N7+'F.F.M.70%'!N7+'F.F.M.ESTIIMACIONES 2014'!N7</f>
        <v>1502731.1014292324</v>
      </c>
      <c r="O4" s="560">
        <f t="shared" ref="O4:O24" si="0">SUM(C4:N4)</f>
        <v>18393073.737561811</v>
      </c>
    </row>
    <row r="5" spans="1:15" x14ac:dyDescent="0.2">
      <c r="A5" s="557" t="s">
        <v>144</v>
      </c>
      <c r="B5" s="577"/>
      <c r="C5" s="559">
        <f>'F.F.M30%'!C8+'F.F.M.70%'!C8+'F.F.M.ESTIIMACIONES 2014'!C8</f>
        <v>948602.61683643493</v>
      </c>
      <c r="D5" s="559">
        <f>'F.F.M30%'!D8+'F.F.M.70%'!D8+'F.F.M.ESTIIMACIONES 2014'!D8</f>
        <v>1186444.3694808478</v>
      </c>
      <c r="E5" s="559">
        <f>'F.F.M30%'!E8+'F.F.M.70%'!E8+'F.F.M.ESTIIMACIONES 2014'!E8</f>
        <v>909456.05121519812</v>
      </c>
      <c r="F5" s="559">
        <f>'F.F.M30%'!F8+'F.F.M.70%'!F8+'F.F.M.ESTIIMACIONES 2014'!F8</f>
        <v>1041390.6910546458</v>
      </c>
      <c r="G5" s="559">
        <f>'F.F.M30%'!G8+'F.F.M.70%'!G8+'F.F.M.ESTIIMACIONES 2014'!G8</f>
        <v>1019893.9443664204</v>
      </c>
      <c r="H5" s="559">
        <f>'F.F.M30%'!H8+'F.F.M.70%'!H8+'F.F.M.ESTIIMACIONES 2014'!H8</f>
        <v>1051354.5909462278</v>
      </c>
      <c r="I5" s="559">
        <f>'F.F.M30%'!I8+'F.F.M.70%'!I8+'F.F.M.ESTIIMACIONES 2014'!I8</f>
        <v>1023680.186496735</v>
      </c>
      <c r="J5" s="559">
        <f>'F.F.M30%'!J8+'F.F.M.70%'!J8+'F.F.M.ESTIIMACIONES 2014'!J8</f>
        <v>949670.47513621568</v>
      </c>
      <c r="K5" s="559">
        <f>'F.F.M30%'!K8+'F.F.M.70%'!K8+'F.F.M.ESTIIMACIONES 2014'!K8</f>
        <v>995156.39827804314</v>
      </c>
      <c r="L5" s="559">
        <f>'F.F.M30%'!L8+'F.F.M.70%'!L8+'F.F.M.ESTIIMACIONES 2014'!L8</f>
        <v>877911.57502856385</v>
      </c>
      <c r="M5" s="559">
        <f>'F.F.M30%'!M8+'F.F.M.70%'!M8+'F.F.M.ESTIIMACIONES 2014'!M8</f>
        <v>916315.35021741409</v>
      </c>
      <c r="N5" s="559">
        <f>'F.F.M30%'!N8+'F.F.M.70%'!N8+'F.F.M.ESTIIMACIONES 2014'!N8</f>
        <v>989559.28566345433</v>
      </c>
      <c r="O5" s="560">
        <f t="shared" si="0"/>
        <v>11909435.534720199</v>
      </c>
    </row>
    <row r="6" spans="1:15" x14ac:dyDescent="0.2">
      <c r="A6" s="557" t="s">
        <v>145</v>
      </c>
      <c r="B6" s="577"/>
      <c r="C6" s="559">
        <f>'F.F.M30%'!C9+'F.F.M.70%'!C9+'F.F.M.ESTIIMACIONES 2014'!C9</f>
        <v>875156.26409315469</v>
      </c>
      <c r="D6" s="559">
        <f>'F.F.M30%'!D9+'F.F.M.70%'!D9+'F.F.M.ESTIIMACIONES 2014'!D9</f>
        <v>1072203.7234917525</v>
      </c>
      <c r="E6" s="559">
        <f>'F.F.M30%'!E9+'F.F.M.70%'!E9+'F.F.M.ESTIIMACIONES 2014'!E9</f>
        <v>843048.93985086214</v>
      </c>
      <c r="F6" s="559">
        <f>'F.F.M30%'!F9+'F.F.M.70%'!F9+'F.F.M.ESTIIMACIONES 2014'!F9</f>
        <v>955851.64449697465</v>
      </c>
      <c r="G6" s="559">
        <f>'F.F.M30%'!G9+'F.F.M.70%'!G9+'F.F.M.ESTIIMACIONES 2014'!G9</f>
        <v>902394.18896581745</v>
      </c>
      <c r="H6" s="559">
        <f>'F.F.M30%'!H9+'F.F.M.70%'!H9+'F.F.M.ESTIIMACIONES 2014'!H9</f>
        <v>938822.53317129845</v>
      </c>
      <c r="I6" s="559">
        <f>'F.F.M30%'!I9+'F.F.M.70%'!I9+'F.F.M.ESTIIMACIONES 2014'!I9</f>
        <v>947268.37979591184</v>
      </c>
      <c r="J6" s="559">
        <f>'F.F.M30%'!J9+'F.F.M.70%'!J9+'F.F.M.ESTIIMACIONES 2014'!J9</f>
        <v>861453.52050549851</v>
      </c>
      <c r="K6" s="559">
        <f>'F.F.M30%'!K9+'F.F.M.70%'!K9+'F.F.M.ESTIIMACIONES 2014'!K9</f>
        <v>917563.54662549321</v>
      </c>
      <c r="L6" s="559">
        <f>'F.F.M30%'!L9+'F.F.M.70%'!L9+'F.F.M.ESTIIMACIONES 2014'!L9</f>
        <v>837809.69914384244</v>
      </c>
      <c r="M6" s="559">
        <f>'F.F.M30%'!M9+'F.F.M.70%'!M9+'F.F.M.ESTIIMACIONES 2014'!M9</f>
        <v>838856.28377695451</v>
      </c>
      <c r="N6" s="559">
        <f>'F.F.M30%'!N9+'F.F.M.70%'!N9+'F.F.M.ESTIIMACIONES 2014'!N9</f>
        <v>915097.26246834954</v>
      </c>
      <c r="O6" s="560">
        <f t="shared" si="0"/>
        <v>10905525.986385908</v>
      </c>
    </row>
    <row r="7" spans="1:15" x14ac:dyDescent="0.2">
      <c r="A7" s="557" t="s">
        <v>275</v>
      </c>
      <c r="B7" s="577"/>
      <c r="C7" s="559">
        <f>'F.F.M30%'!C10+'F.F.M.70%'!C10+'F.F.M.ESTIIMACIONES 2014'!C10</f>
        <v>2902950.6389050754</v>
      </c>
      <c r="D7" s="559">
        <f>'F.F.M30%'!D10+'F.F.M.70%'!D10+'F.F.M.ESTIIMACIONES 2014'!D10</f>
        <v>5704775.3180745868</v>
      </c>
      <c r="E7" s="559">
        <f>'F.F.M30%'!E10+'F.F.M.70%'!E10+'F.F.M.ESTIIMACIONES 2014'!E10</f>
        <v>2411688.4828620306</v>
      </c>
      <c r="F7" s="559">
        <f>'F.F.M30%'!F10+'F.F.M.70%'!F10+'F.F.M.ESTIIMACIONES 2014'!F10</f>
        <v>3641795.1275534043</v>
      </c>
      <c r="G7" s="559">
        <f>'F.F.M30%'!G10+'F.F.M.70%'!G10+'F.F.M.ESTIIMACIONES 2014'!G10</f>
        <v>6692187.3254206814</v>
      </c>
      <c r="H7" s="559">
        <f>'F.F.M30%'!H10+'F.F.M.70%'!H10+'F.F.M.ESTIIMACIONES 2014'!H10</f>
        <v>6102345.6626097038</v>
      </c>
      <c r="I7" s="559">
        <f>'F.F.M30%'!I10+'F.F.M.70%'!I10+'F.F.M.ESTIIMACIONES 2014'!I10</f>
        <v>2868817.3549850406</v>
      </c>
      <c r="J7" s="559">
        <f>'F.F.M30%'!J10+'F.F.M.70%'!J10+'F.F.M.ESTIIMACIONES 2014'!J10</f>
        <v>4267408.6481773909</v>
      </c>
      <c r="K7" s="559">
        <f>'F.F.M30%'!K10+'F.F.M.70%'!K10+'F.F.M.ESTIIMACIONES 2014'!K10</f>
        <v>3095648.7915530987</v>
      </c>
      <c r="L7" s="559">
        <f>'F.F.M30%'!L10+'F.F.M.70%'!L10+'F.F.M.ESTIIMACIONES 2014'!L10</f>
        <v>103683.86703030753</v>
      </c>
      <c r="M7" s="559">
        <f>'F.F.M30%'!M10+'F.F.M.70%'!M10+'F.F.M.ESTIIMACIONES 2014'!M10</f>
        <v>3407691.666268318</v>
      </c>
      <c r="N7" s="559">
        <f>'F.F.M30%'!N10+'F.F.M.70%'!N10+'F.F.M.ESTIIMACIONES 2014'!N10</f>
        <v>2828534.9059437597</v>
      </c>
      <c r="O7" s="560">
        <f t="shared" si="0"/>
        <v>44027527.789383404</v>
      </c>
    </row>
    <row r="8" spans="1:15" x14ac:dyDescent="0.2">
      <c r="A8" s="557" t="s">
        <v>147</v>
      </c>
      <c r="B8" s="577"/>
      <c r="C8" s="559">
        <f>'F.F.M30%'!C11+'F.F.M.70%'!C11+'F.F.M.ESTIIMACIONES 2014'!C11</f>
        <v>2141252.054122515</v>
      </c>
      <c r="D8" s="559">
        <f>'F.F.M30%'!D11+'F.F.M.70%'!D11+'F.F.M.ESTIIMACIONES 2014'!D11</f>
        <v>3086673.454829501</v>
      </c>
      <c r="E8" s="559">
        <f>'F.F.M30%'!E11+'F.F.M.70%'!E11+'F.F.M.ESTIIMACIONES 2014'!E11</f>
        <v>1979713.5419828815</v>
      </c>
      <c r="F8" s="559">
        <f>'F.F.M30%'!F11+'F.F.M.70%'!F11+'F.F.M.ESTIIMACIONES 2014'!F11</f>
        <v>2440307.9752712324</v>
      </c>
      <c r="G8" s="559">
        <f>'F.F.M30%'!G11+'F.F.M.70%'!G11+'F.F.M.ESTIIMACIONES 2014'!G11</f>
        <v>3005634.7345221024</v>
      </c>
      <c r="H8" s="559">
        <f>'F.F.M30%'!H11+'F.F.M.70%'!H11+'F.F.M.ESTIIMACIONES 2014'!H11</f>
        <v>2941492.4835987715</v>
      </c>
      <c r="I8" s="559">
        <f>'F.F.M30%'!I11+'F.F.M.70%'!I11+'F.F.M.ESTIIMACIONES 2014'!I11</f>
        <v>2258739.402740689</v>
      </c>
      <c r="J8" s="559">
        <f>'F.F.M30%'!J11+'F.F.M.70%'!J11+'F.F.M.ESTIIMACIONES 2014'!J11</f>
        <v>2411801.1252443874</v>
      </c>
      <c r="K8" s="559">
        <f>'F.F.M30%'!K11+'F.F.M.70%'!K11+'F.F.M.ESTIIMACIONES 2014'!K11</f>
        <v>2256231.7102754642</v>
      </c>
      <c r="L8" s="559">
        <f>'F.F.M30%'!L11+'F.F.M.70%'!L11+'F.F.M.ESTIIMACIONES 2014'!L11</f>
        <v>1472875.0737923868</v>
      </c>
      <c r="M8" s="559">
        <f>'F.F.M30%'!M11+'F.F.M.70%'!M11+'F.F.M.ESTIIMACIONES 2014'!M11</f>
        <v>2187262.8773189997</v>
      </c>
      <c r="N8" s="559">
        <f>'F.F.M30%'!N11+'F.F.M.70%'!N11+'F.F.M.ESTIIMACIONES 2014'!N11</f>
        <v>2194353.302493195</v>
      </c>
      <c r="O8" s="560">
        <f t="shared" si="0"/>
        <v>28376337.73619213</v>
      </c>
    </row>
    <row r="9" spans="1:15" x14ac:dyDescent="0.2">
      <c r="A9" s="557" t="s">
        <v>276</v>
      </c>
      <c r="B9" s="577"/>
      <c r="C9" s="559">
        <f>'F.F.M30%'!C12+'F.F.M.70%'!C12+'F.F.M.ESTIIMACIONES 2014'!C12</f>
        <v>682821.50110917282</v>
      </c>
      <c r="D9" s="559">
        <f>'F.F.M30%'!D12+'F.F.M.70%'!D12+'F.F.M.ESTIIMACIONES 2014'!D12</f>
        <v>975415.87561080069</v>
      </c>
      <c r="E9" s="559">
        <f>'F.F.M30%'!E12+'F.F.M.70%'!E12+'F.F.M.ESTIIMACIONES 2014'!E12</f>
        <v>632900.93269308633</v>
      </c>
      <c r="F9" s="559">
        <f>'F.F.M30%'!F12+'F.F.M.70%'!F12+'F.F.M.ESTIIMACIONES 2014'!F12</f>
        <v>776237.23923553154</v>
      </c>
      <c r="G9" s="559">
        <f>'F.F.M30%'!G12+'F.F.M.70%'!G12+'F.F.M.ESTIIMACIONES 2014'!G12</f>
        <v>943156.27593561495</v>
      </c>
      <c r="H9" s="559">
        <f>'F.F.M30%'!H12+'F.F.M.70%'!H12+'F.F.M.ESTIIMACIONES 2014'!H12</f>
        <v>925643.04924016539</v>
      </c>
      <c r="I9" s="559">
        <f>'F.F.M30%'!I12+'F.F.M.70%'!I12+'F.F.M.ESTIIMACIONES 2014'!I12</f>
        <v>721418.06134386268</v>
      </c>
      <c r="J9" s="559">
        <f>'F.F.M30%'!J12+'F.F.M.70%'!J12+'F.F.M.ESTIIMACIONES 2014'!J12</f>
        <v>763261.90010897745</v>
      </c>
      <c r="K9" s="559">
        <f>'F.F.M30%'!K12+'F.F.M.70%'!K12+'F.F.M.ESTIIMACIONES 2014'!K12</f>
        <v>719271.91685365268</v>
      </c>
      <c r="L9" s="559">
        <f>'F.F.M30%'!L12+'F.F.M.70%'!L12+'F.F.M.ESTIIMACIONES 2014'!L12</f>
        <v>480755.16916792491</v>
      </c>
      <c r="M9" s="559">
        <f>'F.F.M30%'!M12+'F.F.M.70%'!M12+'F.F.M.ESTIIMACIONES 2014'!M12</f>
        <v>694906.75456658145</v>
      </c>
      <c r="N9" s="559">
        <f>'F.F.M30%'!N12+'F.F.M.70%'!N12+'F.F.M.ESTIIMACIONES 2014'!N12</f>
        <v>700611.13366159843</v>
      </c>
      <c r="O9" s="560">
        <f t="shared" si="0"/>
        <v>9016399.8095269669</v>
      </c>
    </row>
    <row r="10" spans="1:15" x14ac:dyDescent="0.2">
      <c r="A10" s="557" t="s">
        <v>149</v>
      </c>
      <c r="B10" s="577"/>
      <c r="C10" s="559">
        <f>'F.F.M30%'!C13+'F.F.M.70%'!C13+'F.F.M.ESTIIMACIONES 2014'!C13</f>
        <v>584257.32049412606</v>
      </c>
      <c r="D10" s="559">
        <f>'F.F.M30%'!D13+'F.F.M.70%'!D13+'F.F.M.ESTIIMACIONES 2014'!D13</f>
        <v>726950.65221457765</v>
      </c>
      <c r="E10" s="559">
        <f>'F.F.M30%'!E13+'F.F.M.70%'!E13+'F.F.M.ESTIIMACIONES 2014'!E13</f>
        <v>560826.42564205651</v>
      </c>
      <c r="F10" s="559">
        <f>'F.F.M30%'!F13+'F.F.M.70%'!F13+'F.F.M.ESTIIMACIONES 2014'!F13</f>
        <v>640574.03160456964</v>
      </c>
      <c r="G10" s="559">
        <f>'F.F.M30%'!G13+'F.F.M.70%'!G13+'F.F.M.ESTIIMACIONES 2014'!G13</f>
        <v>621629.35391626554</v>
      </c>
      <c r="H10" s="559">
        <f>'F.F.M30%'!H13+'F.F.M.70%'!H13+'F.F.M.ESTIIMACIONES 2014'!H13</f>
        <v>642262.41917129839</v>
      </c>
      <c r="I10" s="559">
        <f>'F.F.M30%'!I13+'F.F.M.70%'!I13+'F.F.M.ESTIIMACIONES 2014'!I13</f>
        <v>630981.70186192123</v>
      </c>
      <c r="J10" s="559">
        <f>'F.F.M30%'!J13+'F.F.M.70%'!J13+'F.F.M.ESTIIMACIONES 2014'!J13</f>
        <v>582423.20680140588</v>
      </c>
      <c r="K10" s="559">
        <f>'F.F.M30%'!K13+'F.F.M.70%'!K13+'F.F.M.ESTIIMACIONES 2014'!K13</f>
        <v>612838.47438357607</v>
      </c>
      <c r="L10" s="559">
        <f>'F.F.M30%'!L13+'F.F.M.70%'!L13+'F.F.M.ESTIIMACIONES 2014'!L13</f>
        <v>545446.11513273662</v>
      </c>
      <c r="M10" s="559">
        <f>'F.F.M30%'!M13+'F.F.M.70%'!M13+'F.F.M.ESTIIMACIONES 2014'!M13</f>
        <v>563266.28476768977</v>
      </c>
      <c r="N10" s="559">
        <f>'F.F.M30%'!N13+'F.F.M.70%'!N13+'F.F.M.ESTIIMACIONES 2014'!N13</f>
        <v>609848.76451729203</v>
      </c>
      <c r="O10" s="560">
        <f t="shared" si="0"/>
        <v>7321304.7505075159</v>
      </c>
    </row>
    <row r="11" spans="1:15" x14ac:dyDescent="0.2">
      <c r="A11" s="557" t="s">
        <v>150</v>
      </c>
      <c r="B11" s="577"/>
      <c r="C11" s="559">
        <f>'F.F.M30%'!C14+'F.F.M.70%'!C14+'F.F.M.ESTIIMACIONES 2014'!C14</f>
        <v>1262510.0434264247</v>
      </c>
      <c r="D11" s="559">
        <f>'F.F.M30%'!D14+'F.F.M.70%'!D14+'F.F.M.ESTIIMACIONES 2014'!D14</f>
        <v>1634680.8601659858</v>
      </c>
      <c r="E11" s="559">
        <f>'F.F.M30%'!E14+'F.F.M.70%'!E14+'F.F.M.ESTIIMACIONES 2014'!E14</f>
        <v>1200446.6698708353</v>
      </c>
      <c r="F11" s="559">
        <f>'F.F.M30%'!F14+'F.F.M.70%'!F14+'F.F.M.ESTIIMACIONES 2014'!F14</f>
        <v>1398203.220733904</v>
      </c>
      <c r="G11" s="559">
        <f>'F.F.M30%'!G14+'F.F.M.70%'!G14+'F.F.M.ESTIIMACIONES 2014'!G14</f>
        <v>1453168.1119055685</v>
      </c>
      <c r="H11" s="559">
        <f>'F.F.M30%'!H14+'F.F.M.70%'!H14+'F.F.M.ESTIIMACIONES 2014'!H14</f>
        <v>1476638.0116245202</v>
      </c>
      <c r="I11" s="559">
        <f>'F.F.M30%'!I14+'F.F.M.70%'!I14+'F.F.M.ESTIIMACIONES 2014'!I14</f>
        <v>1355354.5154142594</v>
      </c>
      <c r="J11" s="559">
        <f>'F.F.M30%'!J14+'F.F.M.70%'!J14+'F.F.M.ESTIIMACIONES 2014'!J14</f>
        <v>1300438.1161771712</v>
      </c>
      <c r="K11" s="559">
        <f>'F.F.M30%'!K14+'F.F.M.70%'!K14+'F.F.M.ESTIIMACIONES 2014'!K14</f>
        <v>1325816.4228888524</v>
      </c>
      <c r="L11" s="559">
        <f>'F.F.M30%'!L14+'F.F.M.70%'!L14+'F.F.M.ESTIIMACIONES 2014'!L14</f>
        <v>1099152.4290871921</v>
      </c>
      <c r="M11" s="559">
        <f>'F.F.M30%'!M14+'F.F.M.70%'!M14+'F.F.M.ESTIIMACIONES 2014'!M14</f>
        <v>1235725.4451776266</v>
      </c>
      <c r="N11" s="559">
        <f>'F.F.M30%'!N14+'F.F.M.70%'!N14+'F.F.M.ESTIIMACIONES 2014'!N14</f>
        <v>1311662.5808163811</v>
      </c>
      <c r="O11" s="560">
        <f t="shared" si="0"/>
        <v>16053796.427288719</v>
      </c>
    </row>
    <row r="12" spans="1:15" x14ac:dyDescent="0.2">
      <c r="A12" s="557" t="s">
        <v>151</v>
      </c>
      <c r="B12" s="577"/>
      <c r="C12" s="559">
        <f>'F.F.M30%'!C15+'F.F.M.70%'!C15+'F.F.M.ESTIIMACIONES 2014'!C15</f>
        <v>1070084.4287560701</v>
      </c>
      <c r="D12" s="559">
        <f>'F.F.M30%'!D15+'F.F.M.70%'!D15+'F.F.M.ESTIIMACIONES 2014'!D15</f>
        <v>1328042.3315396435</v>
      </c>
      <c r="E12" s="559">
        <f>'F.F.M30%'!E15+'F.F.M.70%'!E15+'F.F.M.ESTIIMACIONES 2014'!E15</f>
        <v>1027777.0749378758</v>
      </c>
      <c r="F12" s="559">
        <f>'F.F.M30%'!F15+'F.F.M.70%'!F15+'F.F.M.ESTIIMACIONES 2014'!F15</f>
        <v>1172486.7911365584</v>
      </c>
      <c r="G12" s="559">
        <f>'F.F.M30%'!G15+'F.F.M.70%'!G15+'F.F.M.ESTIIMACIONES 2014'!G15</f>
        <v>1132696.8462577986</v>
      </c>
      <c r="H12" s="559">
        <f>'F.F.M30%'!H15+'F.F.M.70%'!H15+'F.F.M.ESTIIMACIONES 2014'!H15</f>
        <v>1171608.1120458818</v>
      </c>
      <c r="I12" s="559">
        <f>'F.F.M30%'!I15+'F.F.M.70%'!I15+'F.F.M.ESTIIMACIONES 2014'!I15</f>
        <v>1156092.7304039916</v>
      </c>
      <c r="J12" s="559">
        <f>'F.F.M30%'!J15+'F.F.M.70%'!J15+'F.F.M.ESTIIMACIONES 2014'!J15</f>
        <v>1064500.8460006386</v>
      </c>
      <c r="K12" s="559">
        <f>'F.F.M30%'!K15+'F.F.M.70%'!K15+'F.F.M.ESTIIMACIONES 2014'!K15</f>
        <v>1122349.5649493691</v>
      </c>
      <c r="L12" s="559">
        <f>'F.F.M30%'!L15+'F.F.M.70%'!L15+'F.F.M.ESTIIMACIONES 2014'!L15</f>
        <v>1003221.3966322119</v>
      </c>
      <c r="M12" s="559">
        <f>'F.F.M30%'!M15+'F.F.M.70%'!M15+'F.F.M.ESTIIMACIONES 2014'!M15</f>
        <v>1030652.4605395714</v>
      </c>
      <c r="N12" s="559">
        <f>'F.F.M30%'!N15+'F.F.M.70%'!N15+'F.F.M.ESTIIMACIONES 2014'!N15</f>
        <v>1117282.3300215788</v>
      </c>
      <c r="O12" s="560">
        <f t="shared" si="0"/>
        <v>13396794.913221188</v>
      </c>
    </row>
    <row r="13" spans="1:15" x14ac:dyDescent="0.2">
      <c r="A13" s="557" t="s">
        <v>152</v>
      </c>
      <c r="B13" s="577"/>
      <c r="C13" s="559">
        <f>'F.F.M30%'!C16+'F.F.M.70%'!C16+'F.F.M.ESTIIMACIONES 2014'!C16</f>
        <v>611387.65904690477</v>
      </c>
      <c r="D13" s="559">
        <f>'F.F.M30%'!D16+'F.F.M.70%'!D16+'F.F.M.ESTIIMACIONES 2014'!D16</f>
        <v>761164.07153890224</v>
      </c>
      <c r="E13" s="559">
        <f>'F.F.M30%'!E16+'F.F.M.70%'!E16+'F.F.M.ESTIIMACIONES 2014'!E16</f>
        <v>586786.87889897497</v>
      </c>
      <c r="F13" s="559">
        <f>'F.F.M30%'!F16+'F.F.M.70%'!F16+'F.F.M.ESTIIMACIONES 2014'!F16</f>
        <v>670419.71228930599</v>
      </c>
      <c r="G13" s="559">
        <f>'F.F.M30%'!G16+'F.F.M.70%'!G16+'F.F.M.ESTIIMACIONES 2014'!G16</f>
        <v>651282.02297863946</v>
      </c>
      <c r="H13" s="559">
        <f>'F.F.M30%'!H16+'F.F.M.70%'!H16+'F.F.M.ESTIIMACIONES 2014'!H16</f>
        <v>672722.00054610858</v>
      </c>
      <c r="I13" s="559">
        <f>'F.F.M30%'!I16+'F.F.M.70%'!I16+'F.F.M.ESTIIMACIONES 2014'!I16</f>
        <v>660223.56328663195</v>
      </c>
      <c r="J13" s="559">
        <f>'F.F.M30%'!J16+'F.F.M.70%'!J16+'F.F.M.ESTIIMACIONES 2014'!J16</f>
        <v>609768.33558378601</v>
      </c>
      <c r="K13" s="559">
        <f>'F.F.M30%'!K16+'F.F.M.70%'!K16+'F.F.M.ESTIIMACIONES 2014'!K16</f>
        <v>641307.06539895386</v>
      </c>
      <c r="L13" s="559">
        <f>'F.F.M30%'!L16+'F.F.M.70%'!L16+'F.F.M.ESTIIMACIONES 2014'!L16</f>
        <v>570205.0440815707</v>
      </c>
      <c r="M13" s="559">
        <f>'F.F.M30%'!M16+'F.F.M.70%'!M16+'F.F.M.ESTIIMACIONES 2014'!M16</f>
        <v>589554.89269650017</v>
      </c>
      <c r="N13" s="559">
        <f>'F.F.M30%'!N16+'F.F.M.70%'!N16+'F.F.M.ESTIIMACIONES 2014'!N16</f>
        <v>638123.43858347845</v>
      </c>
      <c r="O13" s="560">
        <f t="shared" si="0"/>
        <v>7662944.6849297564</v>
      </c>
    </row>
    <row r="14" spans="1:15" x14ac:dyDescent="0.2">
      <c r="A14" s="557" t="s">
        <v>153</v>
      </c>
      <c r="B14" s="577"/>
      <c r="C14" s="559">
        <f>'F.F.M30%'!C17+'F.F.M.70%'!C17+'F.F.M.ESTIIMACIONES 2014'!C17</f>
        <v>1728134.2595786338</v>
      </c>
      <c r="D14" s="559">
        <f>'F.F.M30%'!D17+'F.F.M.70%'!D17+'F.F.M.ESTIIMACIONES 2014'!D17</f>
        <v>2886308.8180723758</v>
      </c>
      <c r="E14" s="559">
        <f>'F.F.M30%'!E17+'F.F.M.70%'!E17+'F.F.M.ESTIIMACIONES 2014'!E17</f>
        <v>1526986.3615570024</v>
      </c>
      <c r="F14" s="559">
        <f>'F.F.M30%'!F17+'F.F.M.70%'!F17+'F.F.M.ESTIIMACIONES 2014'!F17</f>
        <v>2056163.2797405962</v>
      </c>
      <c r="G14" s="559">
        <f>'F.F.M30%'!G17+'F.F.M.70%'!G17+'F.F.M.ESTIIMACIONES 2014'!G17</f>
        <v>3106148.3409373239</v>
      </c>
      <c r="H14" s="559">
        <f>'F.F.M30%'!H17+'F.F.M.70%'!H17+'F.F.M.ESTIIMACIONES 2014'!H17</f>
        <v>2923654.3433707124</v>
      </c>
      <c r="I14" s="559">
        <f>'F.F.M30%'!I17+'F.F.M.70%'!I17+'F.F.M.ESTIIMACIONES 2014'!I17</f>
        <v>1772675.4874929718</v>
      </c>
      <c r="J14" s="559">
        <f>'F.F.M30%'!J17+'F.F.M.70%'!J17+'F.F.M.ESTIIMACIONES 2014'!J17</f>
        <v>2205834.4460394331</v>
      </c>
      <c r="K14" s="559">
        <f>'F.F.M30%'!K17+'F.F.M.70%'!K17+'F.F.M.ESTIIMACIONES 2014'!K17</f>
        <v>1830501.4071771889</v>
      </c>
      <c r="L14" s="559">
        <f>'F.F.M30%'!L17+'F.F.M.70%'!L17+'F.F.M.ESTIIMACIONES 2014'!L17</f>
        <v>696579.89348419686</v>
      </c>
      <c r="M14" s="559">
        <f>'F.F.M30%'!M17+'F.F.M.70%'!M17+'F.F.M.ESTIIMACIONES 2014'!M17</f>
        <v>1880262.6454977922</v>
      </c>
      <c r="N14" s="559">
        <f>'F.F.M30%'!N17+'F.F.M.70%'!N17+'F.F.M.ESTIIMACIONES 2014'!N17</f>
        <v>1732931.4102684236</v>
      </c>
      <c r="O14" s="560">
        <f t="shared" si="0"/>
        <v>24346180.693216648</v>
      </c>
    </row>
    <row r="15" spans="1:15" x14ac:dyDescent="0.2">
      <c r="A15" s="557" t="s">
        <v>154</v>
      </c>
      <c r="B15" s="577"/>
      <c r="C15" s="559">
        <f>'F.F.M30%'!C18+'F.F.M.70%'!C18+'F.F.M.ESTIIMACIONES 2014'!C18</f>
        <v>1260688.9662063818</v>
      </c>
      <c r="D15" s="559">
        <f>'F.F.M30%'!D18+'F.F.M.70%'!D18+'F.F.M.ESTIIMACIONES 2014'!D18</f>
        <v>1556086.9973696037</v>
      </c>
      <c r="E15" s="559">
        <f>'F.F.M30%'!E18+'F.F.M.70%'!E18+'F.F.M.ESTIIMACIONES 2014'!E18</f>
        <v>1212369.5591792823</v>
      </c>
      <c r="F15" s="559">
        <f>'F.F.M30%'!F18+'F.F.M.70%'!F18+'F.F.M.ESTIIMACIONES 2014'!F18</f>
        <v>1379465.3443098618</v>
      </c>
      <c r="G15" s="559">
        <f>'F.F.M30%'!G18+'F.F.M.70%'!G18+'F.F.M.ESTIIMACIONES 2014'!G18</f>
        <v>1319805.1665630492</v>
      </c>
      <c r="H15" s="559">
        <f>'F.F.M30%'!H18+'F.F.M.70%'!H18+'F.F.M.ESTIIMACIONES 2014'!H18</f>
        <v>1368461.8605954372</v>
      </c>
      <c r="I15" s="559">
        <f>'F.F.M30%'!I18+'F.F.M.70%'!I18+'F.F.M.ESTIIMACIONES 2014'!I18</f>
        <v>1363099.646799389</v>
      </c>
      <c r="J15" s="559">
        <f>'F.F.M30%'!J18+'F.F.M.70%'!J18+'F.F.M.ESTIIMACIONES 2014'!J18</f>
        <v>1248527.1200600292</v>
      </c>
      <c r="K15" s="559">
        <f>'F.F.M30%'!K18+'F.F.M.70%'!K18+'F.F.M.ESTIIMACIONES 2014'!K18</f>
        <v>1322057.5645997948</v>
      </c>
      <c r="L15" s="559">
        <f>'F.F.M30%'!L18+'F.F.M.70%'!L18+'F.F.M.ESTIIMACIONES 2014'!L18</f>
        <v>1192511.6277879307</v>
      </c>
      <c r="M15" s="559">
        <f>'F.F.M30%'!M18+'F.F.M.70%'!M18+'F.F.M.ESTIIMACIONES 2014'!M18</f>
        <v>1211757.5344127058</v>
      </c>
      <c r="N15" s="559">
        <f>'F.F.M30%'!N18+'F.F.M.70%'!N18+'F.F.M.ESTIIMACIONES 2014'!N18</f>
        <v>1317113.2084748703</v>
      </c>
      <c r="O15" s="560">
        <f t="shared" si="0"/>
        <v>15751944.596358337</v>
      </c>
    </row>
    <row r="16" spans="1:15" x14ac:dyDescent="0.2">
      <c r="A16" s="557" t="s">
        <v>155</v>
      </c>
      <c r="B16" s="577"/>
      <c r="C16" s="559">
        <f>'F.F.M30%'!C19+'F.F.M.70%'!C19+'F.F.M.ESTIIMACIONES 2014'!C19</f>
        <v>1818412.4199270518</v>
      </c>
      <c r="D16" s="559">
        <f>'F.F.M30%'!D19+'F.F.M.70%'!D19+'F.F.M.ESTIIMACIONES 2014'!D19</f>
        <v>2293922.2502311957</v>
      </c>
      <c r="E16" s="559">
        <f>'F.F.M30%'!E19+'F.F.M.70%'!E19+'F.F.M.ESTIIMACIONES 2014'!E19</f>
        <v>1739863.6056950488</v>
      </c>
      <c r="F16" s="559">
        <f>'F.F.M30%'!F19+'F.F.M.70%'!F19+'F.F.M.ESTIIMACIONES 2014'!F19</f>
        <v>2000576.3737396547</v>
      </c>
      <c r="G16" s="559">
        <f>'F.F.M30%'!G19+'F.F.M.70%'!G19+'F.F.M.ESTIIMACIONES 2014'!G19</f>
        <v>1988790.6202069335</v>
      </c>
      <c r="H16" s="559">
        <f>'F.F.M30%'!H19+'F.F.M.70%'!H19+'F.F.M.ESTIIMACIONES 2014'!H19</f>
        <v>2042620.5657850972</v>
      </c>
      <c r="I16" s="559">
        <f>'F.F.M30%'!I19+'F.F.M.70%'!I19+'F.F.M.ESTIIMACIONES 2014'!I19</f>
        <v>1959839.8966296595</v>
      </c>
      <c r="J16" s="559">
        <f>'F.F.M30%'!J19+'F.F.M.70%'!J19+'F.F.M.ESTIIMACIONES 2014'!J19</f>
        <v>1833311.459030963</v>
      </c>
      <c r="K16" s="559">
        <f>'F.F.M30%'!K19+'F.F.M.70%'!K19+'F.F.M.ESTIIMACIONES 2014'!K19</f>
        <v>1908127.4159194853</v>
      </c>
      <c r="L16" s="559">
        <f>'F.F.M30%'!L19+'F.F.M.70%'!L19+'F.F.M.ESTIIMACIONES 2014'!L19</f>
        <v>1658514.6370207439</v>
      </c>
      <c r="M16" s="559">
        <f>'F.F.M30%'!M19+'F.F.M.70%'!M19+'F.F.M.ESTIIMACIONES 2014'!M19</f>
        <v>1762218.2801563598</v>
      </c>
      <c r="N16" s="559">
        <f>'F.F.M30%'!N19+'F.F.M.70%'!N19+'F.F.M.ESTIIMACIONES 2014'!N19</f>
        <v>1895037.7976844644</v>
      </c>
      <c r="O16" s="560">
        <f t="shared" si="0"/>
        <v>22901235.322026659</v>
      </c>
    </row>
    <row r="17" spans="1:18" x14ac:dyDescent="0.2">
      <c r="A17" s="557" t="s">
        <v>277</v>
      </c>
      <c r="B17" s="577"/>
      <c r="C17" s="559">
        <f>'F.F.M30%'!C20+'F.F.M.70%'!C20+'F.F.M.ESTIIMACIONES 2014'!C20</f>
        <v>786135.99329494883</v>
      </c>
      <c r="D17" s="559">
        <f>'F.F.M30%'!D20+'F.F.M.70%'!D20+'F.F.M.ESTIIMACIONES 2014'!D20</f>
        <v>946978.06548906781</v>
      </c>
      <c r="E17" s="559">
        <f>'F.F.M30%'!E20+'F.F.M.70%'!E20+'F.F.M.ESTIIMACIONES 2014'!E20</f>
        <v>760189.3163211135</v>
      </c>
      <c r="F17" s="559">
        <f>'F.F.M30%'!F20+'F.F.M.70%'!F20+'F.F.M.ESTIIMACIONES 2014'!F20</f>
        <v>855078.26561089279</v>
      </c>
      <c r="G17" s="559">
        <f>'F.F.M30%'!G20+'F.F.M.70%'!G20+'F.F.M.ESTIIMACIONES 2014'!G20</f>
        <v>782775.00198049832</v>
      </c>
      <c r="H17" s="559">
        <f>'F.F.M30%'!H20+'F.F.M.70%'!H20+'F.F.M.ESTIIMACIONES 2014'!H20</f>
        <v>820844.60456413694</v>
      </c>
      <c r="I17" s="559">
        <f>'F.F.M30%'!I20+'F.F.M.70%'!I20+'F.F.M.ESTIIMACIONES 2014'!I20</f>
        <v>852969.3228813241</v>
      </c>
      <c r="J17" s="559">
        <f>'F.F.M30%'!J20+'F.F.M.70%'!J20+'F.F.M.ESTIIMACIONES 2014'!J20</f>
        <v>763219.72511509503</v>
      </c>
      <c r="K17" s="559">
        <f>'F.F.M30%'!K20+'F.F.M.70%'!K20+'F.F.M.ESTIIMACIONES 2014'!K20</f>
        <v>823838.19038544712</v>
      </c>
      <c r="L17" s="559">
        <f>'F.F.M30%'!L20+'F.F.M.70%'!L20+'F.F.M.ESTIIMACIONES 2014'!L20</f>
        <v>772716.35644033295</v>
      </c>
      <c r="M17" s="559">
        <f>'F.F.M30%'!M20+'F.F.M.70%'!M20+'F.F.M.ESTIIMACIONES 2014'!M20</f>
        <v>748825.14911039965</v>
      </c>
      <c r="N17" s="559">
        <f>'F.F.M30%'!N20+'F.F.M.70%'!N20+'F.F.M.ESTIIMACIONES 2014'!N20</f>
        <v>823570.83814975724</v>
      </c>
      <c r="O17" s="560">
        <f t="shared" si="0"/>
        <v>9737140.8293430153</v>
      </c>
    </row>
    <row r="18" spans="1:18" x14ac:dyDescent="0.2">
      <c r="A18" s="557" t="s">
        <v>278</v>
      </c>
      <c r="B18" s="577"/>
      <c r="C18" s="559">
        <f>'F.F.M30%'!C21+'F.F.M.70%'!C21+'F.F.M.ESTIIMACIONES 2014'!C21</f>
        <v>1086792.833306784</v>
      </c>
      <c r="D18" s="559">
        <f>'F.F.M30%'!D21+'F.F.M.70%'!D21+'F.F.M.ESTIIMACIONES 2014'!D21</f>
        <v>1367940.6203206538</v>
      </c>
      <c r="E18" s="559">
        <f>'F.F.M30%'!E21+'F.F.M.70%'!E21+'F.F.M.ESTIIMACIONES 2014'!E21</f>
        <v>1040392.8084474512</v>
      </c>
      <c r="F18" s="559">
        <f>'F.F.M30%'!F21+'F.F.M.70%'!F21+'F.F.M.ESTIIMACIONES 2014'!F21</f>
        <v>1194997.0007835296</v>
      </c>
      <c r="G18" s="559">
        <f>'F.F.M30%'!G21+'F.F.M.70%'!G21+'F.F.M.ESTIIMACIONES 2014'!G21</f>
        <v>1183377.1498758926</v>
      </c>
      <c r="H18" s="559">
        <f>'F.F.M30%'!H21+'F.F.M.70%'!H21+'F.F.M.ESTIIMACIONES 2014'!H21</f>
        <v>1216556.7052776376</v>
      </c>
      <c r="I18" s="559">
        <f>'F.F.M30%'!I21+'F.F.M.70%'!I21+'F.F.M.ESTIIMACIONES 2014'!I21</f>
        <v>1171705.9245111293</v>
      </c>
      <c r="J18" s="559">
        <f>'F.F.M30%'!J21+'F.F.M.70%'!J21+'F.F.M.ESTIIMACIONES 2014'!J21</f>
        <v>1093698.5468481311</v>
      </c>
      <c r="K18" s="559">
        <f>'F.F.M30%'!K21+'F.F.M.70%'!K21+'F.F.M.ESTIIMACIONES 2014'!K21</f>
        <v>1140338.1565853215</v>
      </c>
      <c r="L18" s="559">
        <f>'F.F.M30%'!L21+'F.F.M.70%'!L21+'F.F.M.ESTIIMACIONES 2014'!L21</f>
        <v>995021.21438764059</v>
      </c>
      <c r="M18" s="559">
        <f>'F.F.M30%'!M21+'F.F.M.70%'!M21+'F.F.M.ESTIIMACIONES 2014'!M21</f>
        <v>1052321.5449835446</v>
      </c>
      <c r="N18" s="559">
        <f>'F.F.M30%'!N21+'F.F.M.70%'!N21+'F.F.M.ESTIIMACIONES 2014'!N21</f>
        <v>1132882.1049362109</v>
      </c>
      <c r="O18" s="560">
        <f t="shared" si="0"/>
        <v>13676024.610263925</v>
      </c>
    </row>
    <row r="19" spans="1:18" x14ac:dyDescent="0.2">
      <c r="A19" s="557" t="s">
        <v>279</v>
      </c>
      <c r="B19" s="577"/>
      <c r="C19" s="559">
        <f>'F.F.M30%'!C22+'F.F.M.70%'!C22+'F.F.M.ESTIIMACIONES 2014'!C22</f>
        <v>5666591.821254449</v>
      </c>
      <c r="D19" s="559">
        <f>'F.F.M30%'!D22+'F.F.M.70%'!D22+'F.F.M.ESTIIMACIONES 2014'!D22</f>
        <v>9888966.6755280606</v>
      </c>
      <c r="E19" s="559">
        <f>'F.F.M30%'!E22+'F.F.M.70%'!E22+'F.F.M.ESTIIMACIONES 2014'!E22</f>
        <v>4930957.3119786102</v>
      </c>
      <c r="F19" s="559">
        <f>'F.F.M30%'!F22+'F.F.M.70%'!F22+'F.F.M.ESTIIMACIONES 2014'!F22</f>
        <v>6835355.9497028515</v>
      </c>
      <c r="G19" s="559">
        <f>'F.F.M30%'!G22+'F.F.M.70%'!G22+'F.F.M.ESTIIMACIONES 2014'!G22</f>
        <v>10916390.698639696</v>
      </c>
      <c r="H19" s="559">
        <f>'F.F.M30%'!H22+'F.F.M.70%'!H22+'F.F.M.ESTIIMACIONES 2014'!H22</f>
        <v>10177489.951679321</v>
      </c>
      <c r="I19" s="559">
        <f>'F.F.M30%'!I22+'F.F.M.70%'!I22+'F.F.M.ESTIIMACIONES 2014'!I22</f>
        <v>5758606.2122102343</v>
      </c>
      <c r="J19" s="559">
        <f>'F.F.M30%'!J22+'F.F.M.70%'!J22+'F.F.M.ESTIIMACIONES 2014'!J22</f>
        <v>7511716.9590550307</v>
      </c>
      <c r="K19" s="559">
        <f>'F.F.M30%'!K22+'F.F.M.70%'!K22+'F.F.M.ESTIIMACIONES 2014'!K22</f>
        <v>6012542.3055548649</v>
      </c>
      <c r="L19" s="559">
        <f>'F.F.M30%'!L22+'F.F.M.70%'!L22+'F.F.M.ESTIIMACIONES 2014'!L22</f>
        <v>1755185.4433481311</v>
      </c>
      <c r="M19" s="559">
        <f>'F.F.M30%'!M22+'F.F.M.70%'!M22+'F.F.M.ESTIIMACIONES 2014'!M22</f>
        <v>6289014.7063147286</v>
      </c>
      <c r="N19" s="559">
        <f>'F.F.M30%'!N22+'F.F.M.70%'!N22+'F.F.M.ESTIIMACIONES 2014'!N22</f>
        <v>5641417.7382485298</v>
      </c>
      <c r="O19" s="560">
        <f t="shared" si="0"/>
        <v>81384235.773514494</v>
      </c>
    </row>
    <row r="20" spans="1:18" x14ac:dyDescent="0.2">
      <c r="A20" s="557" t="s">
        <v>159</v>
      </c>
      <c r="B20" s="577"/>
      <c r="C20" s="559">
        <f>'F.F.M30%'!C23+'F.F.M.70%'!C23+'F.F.M.ESTIIMACIONES 2014'!C23</f>
        <v>1391426.733321036</v>
      </c>
      <c r="D20" s="559">
        <f>'F.F.M30%'!D23+'F.F.M.70%'!D23+'F.F.M.ESTIIMACIONES 2014'!D23</f>
        <v>1794032.6961866431</v>
      </c>
      <c r="E20" s="559">
        <f>'F.F.M30%'!E23+'F.F.M.70%'!E23+'F.F.M.ESTIIMACIONES 2014'!E23</f>
        <v>1324381.4216382112</v>
      </c>
      <c r="F20" s="559">
        <f>'F.F.M30%'!F23+'F.F.M.70%'!F23+'F.F.M.ESTIIMACIONES 2014'!F23</f>
        <v>1539315.8763408149</v>
      </c>
      <c r="G20" s="559">
        <f>'F.F.M30%'!G23+'F.F.M.70%'!G23+'F.F.M.ESTIIMACIONES 2014'!G23</f>
        <v>1588522.6507286229</v>
      </c>
      <c r="H20" s="559">
        <f>'F.F.M30%'!H23+'F.F.M.70%'!H23+'F.F.M.ESTIIMACIONES 2014'!H23</f>
        <v>1616892.6827328783</v>
      </c>
      <c r="I20" s="559">
        <f>'F.F.M30%'!I23+'F.F.M.70%'!I23+'F.F.M.ESTIIMACIONES 2014'!I23</f>
        <v>1494714.5923809321</v>
      </c>
      <c r="J20" s="559">
        <f>'F.F.M30%'!J23+'F.F.M.70%'!J23+'F.F.M.ESTIIMACIONES 2014'!J23</f>
        <v>1428260.8312413094</v>
      </c>
      <c r="K20" s="559">
        <f>'F.F.M30%'!K23+'F.F.M.70%'!K23+'F.F.M.ESTIIMACIONES 2014'!K23</f>
        <v>1461014.1230480431</v>
      </c>
      <c r="L20" s="559">
        <f>'F.F.M30%'!L23+'F.F.M.70%'!L23+'F.F.M.ESTIIMACIONES 2014'!L23</f>
        <v>1220813.3472796315</v>
      </c>
      <c r="M20" s="559">
        <f>'F.F.M30%'!M23+'F.F.M.70%'!M23+'F.F.M.ESTIIMACIONES 2014'!M23</f>
        <v>1359704.8285355724</v>
      </c>
      <c r="N20" s="559">
        <f>'F.F.M30%'!N23+'F.F.M.70%'!N23+'F.F.M.ESTIIMACIONES 2014'!N23</f>
        <v>1446327.1869840338</v>
      </c>
      <c r="O20" s="560">
        <f t="shared" si="0"/>
        <v>17665406.970417727</v>
      </c>
    </row>
    <row r="21" spans="1:18" x14ac:dyDescent="0.2">
      <c r="A21" s="557" t="s">
        <v>160</v>
      </c>
      <c r="B21" s="577"/>
      <c r="C21" s="559">
        <f>'F.F.M30%'!C24+'F.F.M.70%'!C24+'F.F.M.ESTIIMACIONES 2014'!C24</f>
        <v>16468134.344803505</v>
      </c>
      <c r="D21" s="559">
        <f>'F.F.M30%'!D24+'F.F.M.70%'!D24+'F.F.M.ESTIIMACIONES 2014'!D24</f>
        <v>22291802.470106095</v>
      </c>
      <c r="E21" s="559">
        <f>'F.F.M30%'!E24+'F.F.M.70%'!E24+'F.F.M.ESTIIMACIONES 2014'!E24</f>
        <v>15485011.302183131</v>
      </c>
      <c r="F21" s="559">
        <f>'F.F.M30%'!F24+'F.F.M.70%'!F24+'F.F.M.ESTIIMACIONES 2014'!F24</f>
        <v>18450663.755213473</v>
      </c>
      <c r="G21" s="559">
        <f>'F.F.M30%'!G24+'F.F.M.70%'!G24+'F.F.M.ESTIIMACIONES 2014'!G24</f>
        <v>20623691.130085632</v>
      </c>
      <c r="H21" s="559">
        <f>'F.F.M30%'!H24+'F.F.M.70%'!H24+'F.F.M.ESTIIMACIONES 2014'!H24</f>
        <v>20609235.272195689</v>
      </c>
      <c r="I21" s="559">
        <f>'F.F.M30%'!I24+'F.F.M.70%'!I24+'F.F.M.ESTIIMACIONES 2014'!I24</f>
        <v>17555889.429406594</v>
      </c>
      <c r="J21" s="559">
        <f>'F.F.M30%'!J24+'F.F.M.70%'!J24+'F.F.M.ESTIIMACIONES 2014'!J24</f>
        <v>17598897.428870425</v>
      </c>
      <c r="K21" s="559">
        <f>'F.F.M30%'!K24+'F.F.M.70%'!K24+'F.F.M.ESTIIMACIONES 2014'!K24</f>
        <v>17317372.075109422</v>
      </c>
      <c r="L21" s="559">
        <f>'F.F.M30%'!L24+'F.F.M.70%'!L24+'F.F.M.ESTIIMACIONES 2014'!L24</f>
        <v>13130399.388662986</v>
      </c>
      <c r="M21" s="559">
        <f>'F.F.M30%'!M24+'F.F.M.70%'!M24+'F.F.M.ESTIIMACIONES 2014'!M24</f>
        <v>16400771.219585611</v>
      </c>
      <c r="N21" s="559">
        <f>'F.F.M30%'!N24+'F.F.M.70%'!N24+'F.F.M.ESTIIMACIONES 2014'!N24</f>
        <v>17015941.525364649</v>
      </c>
      <c r="O21" s="560">
        <f t="shared" si="0"/>
        <v>212947809.34158719</v>
      </c>
    </row>
    <row r="22" spans="1:18" x14ac:dyDescent="0.2">
      <c r="A22" s="557" t="s">
        <v>161</v>
      </c>
      <c r="B22" s="577"/>
      <c r="C22" s="559">
        <f>'F.F.M30%'!C25+'F.F.M.70%'!C25+'F.F.M.ESTIIMACIONES 2014'!C25</f>
        <v>1578808.4276351379</v>
      </c>
      <c r="D22" s="559">
        <f>'F.F.M30%'!D25+'F.F.M.70%'!D25+'F.F.M.ESTIIMACIONES 2014'!D25</f>
        <v>2114830.9767874731</v>
      </c>
      <c r="E22" s="559">
        <f>'F.F.M30%'!E25+'F.F.M.70%'!E25+'F.F.M.ESTIIMACIONES 2014'!E25</f>
        <v>1488549.2123515522</v>
      </c>
      <c r="F22" s="559">
        <f>'F.F.M30%'!F25+'F.F.M.70%'!F25+'F.F.M.ESTIIMACIONES 2014'!F25</f>
        <v>1763984.3942856318</v>
      </c>
      <c r="G22" s="559">
        <f>'F.F.M30%'!G25+'F.F.M.70%'!G25+'F.F.M.ESTIIMACIONES 2014'!G25</f>
        <v>1938814.3075824627</v>
      </c>
      <c r="H22" s="559">
        <f>'F.F.M30%'!H25+'F.F.M.70%'!H25+'F.F.M.ESTIIMACIONES 2014'!H25</f>
        <v>1944804.2864941442</v>
      </c>
      <c r="I22" s="559">
        <f>'F.F.M30%'!I25+'F.F.M.70%'!I25+'F.F.M.ESTIIMACIONES 2014'!I25</f>
        <v>1685928.8995816812</v>
      </c>
      <c r="J22" s="559">
        <f>'F.F.M30%'!J25+'F.F.M.70%'!J25+'F.F.M.ESTIIMACIONES 2014'!J25</f>
        <v>1672582.2828381876</v>
      </c>
      <c r="K22" s="559">
        <f>'F.F.M30%'!K25+'F.F.M.70%'!K25+'F.F.M.ESTIIMACIONES 2014'!K25</f>
        <v>1659685.2756709605</v>
      </c>
      <c r="L22" s="559">
        <f>'F.F.M30%'!L25+'F.F.M.70%'!L25+'F.F.M.ESTIIMACIONES 2014'!L25</f>
        <v>1286584.9808190186</v>
      </c>
      <c r="M22" s="559">
        <f>'F.F.M30%'!M25+'F.F.M.70%'!M25+'F.F.M.ESTIIMACIONES 2014'!M25</f>
        <v>1565862.0703396318</v>
      </c>
      <c r="N22" s="559">
        <f>'F.F.M30%'!N25+'F.F.M.70%'!N25+'F.F.M.ESTIIMACIONES 2014'!N25</f>
        <v>1633474.351994423</v>
      </c>
      <c r="O22" s="560">
        <f t="shared" si="0"/>
        <v>20333909.466380306</v>
      </c>
      <c r="R22" s="561"/>
    </row>
    <row r="23" spans="1:18" ht="13.5" thickBot="1" x14ac:dyDescent="0.25">
      <c r="A23" s="557" t="s">
        <v>162</v>
      </c>
      <c r="B23" s="577"/>
      <c r="C23" s="559">
        <f>'F.F.M30%'!C26+'F.F.M.70%'!C26+'F.F.M.ESTIIMACIONES 2014'!C26</f>
        <v>1456746.9662373052</v>
      </c>
      <c r="D23" s="559">
        <f>'F.F.M30%'!D26+'F.F.M.70%'!D26+'F.F.M.ESTIIMACIONES 2014'!D26</f>
        <v>2124706.7910489608</v>
      </c>
      <c r="E23" s="559">
        <f>'F.F.M30%'!E26+'F.F.M.70%'!E26+'F.F.M.ESTIIMACIONES 2014'!E26</f>
        <v>1342412.4942826154</v>
      </c>
      <c r="F23" s="559">
        <f>'F.F.M30%'!F26+'F.F.M.70%'!F26+'F.F.M.ESTIIMACIONES 2014'!F26</f>
        <v>1665634.1781859426</v>
      </c>
      <c r="G23" s="559">
        <f>'F.F.M30%'!G26+'F.F.M.70%'!G26+'F.F.M.ESTIIMACIONES 2014'!G26</f>
        <v>2087451.5807397426</v>
      </c>
      <c r="H23" s="559">
        <f>'F.F.M30%'!H26+'F.F.M.70%'!H26+'F.F.M.ESTIIMACIONES 2014'!H26</f>
        <v>2035620.7858532374</v>
      </c>
      <c r="I23" s="559">
        <f>'F.F.M30%'!I26+'F.F.M.70%'!I26+'F.F.M.ESTIIMACIONES 2014'!I26</f>
        <v>1533525.325338833</v>
      </c>
      <c r="J23" s="559">
        <f>'F.F.M30%'!J26+'F.F.M.70%'!J26+'F.F.M.ESTIIMACIONES 2014'!J26</f>
        <v>1657062.7550133816</v>
      </c>
      <c r="K23" s="559">
        <f>'F.F.M30%'!K26+'F.F.M.70%'!K26+'F.F.M.ESTIIMACIONES 2014'!K26</f>
        <v>1535570.3292794463</v>
      </c>
      <c r="L23" s="559">
        <f>'F.F.M30%'!L26+'F.F.M.70%'!L26+'F.F.M.ESTIIMACIONES 2014'!L26</f>
        <v>971189.60274905188</v>
      </c>
      <c r="M23" s="559">
        <f>'F.F.M30%'!M26+'F.F.M.70%'!M26+'F.F.M.ESTIIMACIONES 2014'!M26</f>
        <v>1495256.486149224</v>
      </c>
      <c r="N23" s="559">
        <f>'F.F.M30%'!N26+'F.F.M.70%'!N26+'F.F.M.ESTIIMACIONES 2014'!N26</f>
        <v>1490487.7322963108</v>
      </c>
      <c r="O23" s="560">
        <f t="shared" si="0"/>
        <v>19395665.027174052</v>
      </c>
    </row>
    <row r="24" spans="1:18" ht="13.5" thickBot="1" x14ac:dyDescent="0.25">
      <c r="A24" s="562" t="s">
        <v>280</v>
      </c>
      <c r="B24" s="578">
        <f t="shared" ref="B24:N24" si="1">SUM(B4:B23)</f>
        <v>0</v>
      </c>
      <c r="C24" s="564">
        <f t="shared" si="1"/>
        <v>45767327.999999993</v>
      </c>
      <c r="D24" s="564">
        <f t="shared" si="1"/>
        <v>65614901.000000007</v>
      </c>
      <c r="E24" s="564">
        <f t="shared" si="1"/>
        <v>42379059.000000007</v>
      </c>
      <c r="F24" s="564">
        <f t="shared" si="1"/>
        <v>52080427.999999993</v>
      </c>
      <c r="G24" s="564">
        <f t="shared" si="1"/>
        <v>63622938</v>
      </c>
      <c r="H24" s="564">
        <f t="shared" si="1"/>
        <v>62371037</v>
      </c>
      <c r="I24" s="564">
        <f t="shared" si="1"/>
        <v>48324313.999999993</v>
      </c>
      <c r="J24" s="564">
        <f t="shared" si="1"/>
        <v>51313824</v>
      </c>
      <c r="K24" s="564">
        <f t="shared" si="1"/>
        <v>48216196</v>
      </c>
      <c r="L24" s="564">
        <f t="shared" si="1"/>
        <v>31929664.000000004</v>
      </c>
      <c r="M24" s="564">
        <f t="shared" si="1"/>
        <v>46646017.000000007</v>
      </c>
      <c r="N24" s="564">
        <f t="shared" si="1"/>
        <v>46936987.999999993</v>
      </c>
      <c r="O24" s="564">
        <f t="shared" si="0"/>
        <v>605202694</v>
      </c>
    </row>
    <row r="25" spans="1:18" x14ac:dyDescent="0.2">
      <c r="A25" s="566" t="s">
        <v>281</v>
      </c>
      <c r="M25" s="561"/>
      <c r="O25" s="561"/>
    </row>
    <row r="27" spans="1:18" x14ac:dyDescent="0.2">
      <c r="M27" s="561"/>
    </row>
    <row r="28" spans="1:18" x14ac:dyDescent="0.2">
      <c r="O28" s="561"/>
    </row>
  </sheetData>
  <mergeCells count="1">
    <mergeCell ref="A1:O1"/>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S86"/>
  <sheetViews>
    <sheetView zoomScale="90" zoomScaleNormal="90" workbookViewId="0">
      <selection sqref="A1:AK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9"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2.42578125" customWidth="1"/>
    <col min="22" max="22" width="17.7109375" customWidth="1"/>
    <col min="23" max="23" width="12.140625" customWidth="1"/>
    <col min="24" max="24" width="12" customWidth="1"/>
    <col min="25" max="25" width="12.42578125" customWidth="1"/>
    <col min="26" max="26" width="15.85546875" customWidth="1"/>
    <col min="27" max="27" width="15.28515625" customWidth="1"/>
    <col min="28" max="28" width="12.140625" customWidth="1"/>
    <col min="29" max="29" width="11" customWidth="1"/>
    <col min="30" max="30" width="13.140625" customWidth="1"/>
    <col min="31" max="31" width="13.28515625" customWidth="1"/>
    <col min="32" max="32" width="13.7109375" style="11" customWidth="1"/>
    <col min="33" max="33" width="12.85546875" style="11" customWidth="1"/>
    <col min="34" max="34" width="12" style="11" customWidth="1"/>
    <col min="35" max="35" width="12" style="11" bestFit="1" customWidth="1"/>
    <col min="36" max="36" width="13" customWidth="1"/>
    <col min="37" max="37" width="13.85546875" customWidth="1"/>
    <col min="38" max="39" width="11.42578125" customWidth="1"/>
  </cols>
  <sheetData>
    <row r="1" spans="1:45" ht="18" customHeight="1" x14ac:dyDescent="0.25">
      <c r="A1" s="967" t="s">
        <v>420</v>
      </c>
      <c r="B1" s="967"/>
      <c r="C1" s="967"/>
      <c r="D1" s="967"/>
      <c r="E1" s="967"/>
      <c r="F1" s="967"/>
      <c r="G1" s="967"/>
      <c r="H1" s="967"/>
      <c r="I1" s="967"/>
      <c r="J1" s="967"/>
      <c r="K1" s="967"/>
      <c r="L1" s="967"/>
      <c r="M1" s="967"/>
      <c r="N1" s="967"/>
      <c r="O1" s="967"/>
      <c r="P1" s="967"/>
      <c r="Q1" s="967"/>
      <c r="R1" s="967"/>
      <c r="S1" s="967"/>
      <c r="T1" s="967"/>
      <c r="U1" s="967"/>
      <c r="V1" s="967"/>
      <c r="W1" s="967"/>
      <c r="X1" s="967"/>
      <c r="Y1" s="967"/>
      <c r="Z1" s="967"/>
      <c r="AA1" s="967"/>
      <c r="AB1" s="967"/>
      <c r="AC1" s="967"/>
      <c r="AD1" s="967"/>
      <c r="AE1" s="967"/>
      <c r="AF1" s="967"/>
      <c r="AG1" s="967"/>
      <c r="AH1" s="967"/>
      <c r="AI1" s="967"/>
      <c r="AJ1" s="967"/>
      <c r="AK1" s="967"/>
    </row>
    <row r="2" spans="1:45" ht="15.75" thickBot="1" x14ac:dyDescent="0.3">
      <c r="A2" s="942"/>
      <c r="B2" s="942"/>
      <c r="C2" s="942"/>
      <c r="D2" s="942"/>
      <c r="E2" s="942"/>
      <c r="F2" s="942"/>
      <c r="G2" s="942"/>
      <c r="H2" s="942"/>
      <c r="I2" s="942"/>
      <c r="J2" s="942"/>
      <c r="K2" s="942"/>
      <c r="L2" s="942"/>
      <c r="M2" s="942"/>
      <c r="N2" s="942"/>
      <c r="O2" s="942"/>
      <c r="P2" s="942"/>
      <c r="Q2" s="942"/>
      <c r="R2" s="942"/>
      <c r="S2" s="942"/>
      <c r="T2" s="942"/>
      <c r="U2" s="10"/>
      <c r="V2" s="10"/>
    </row>
    <row r="3" spans="1:45" ht="45" customHeight="1" thickBot="1" x14ac:dyDescent="0.3">
      <c r="A3" s="943" t="s">
        <v>227</v>
      </c>
      <c r="B3" s="883"/>
      <c r="C3" s="883"/>
      <c r="D3" s="883"/>
      <c r="E3" s="883"/>
      <c r="F3" s="883"/>
      <c r="G3" s="883"/>
      <c r="H3" s="883"/>
      <c r="I3" s="884"/>
      <c r="J3" s="885"/>
      <c r="K3" s="885"/>
      <c r="L3" s="885"/>
      <c r="M3" s="885"/>
      <c r="N3" s="885"/>
      <c r="O3" s="885"/>
      <c r="P3" s="885"/>
      <c r="Q3" s="885"/>
      <c r="R3" s="885"/>
      <c r="S3" s="946" t="s">
        <v>263</v>
      </c>
      <c r="T3" s="947"/>
      <c r="U3" s="946" t="s">
        <v>179</v>
      </c>
      <c r="V3" s="948"/>
      <c r="W3" s="947"/>
      <c r="X3" s="946" t="s">
        <v>182</v>
      </c>
      <c r="Y3" s="949"/>
      <c r="Z3" s="946" t="s">
        <v>292</v>
      </c>
      <c r="AA3" s="947"/>
      <c r="AB3" s="946" t="s">
        <v>481</v>
      </c>
      <c r="AC3" s="947"/>
      <c r="AD3" s="965" t="s">
        <v>268</v>
      </c>
      <c r="AE3" s="966"/>
      <c r="AF3" s="960" t="s">
        <v>267</v>
      </c>
      <c r="AG3" s="961"/>
      <c r="AH3" s="960" t="s">
        <v>384</v>
      </c>
      <c r="AI3" s="961"/>
      <c r="AJ3" s="960" t="s">
        <v>383</v>
      </c>
      <c r="AK3" s="961"/>
      <c r="AL3" s="88"/>
      <c r="AM3" s="88"/>
      <c r="AN3" s="88"/>
      <c r="AO3" s="88"/>
      <c r="AP3" s="88"/>
      <c r="AQ3" s="88"/>
      <c r="AR3" s="88"/>
      <c r="AS3" s="137"/>
    </row>
    <row r="4" spans="1:45" ht="15.75" customHeight="1" x14ac:dyDescent="0.25">
      <c r="A4" s="944"/>
      <c r="B4" s="936" t="s">
        <v>14</v>
      </c>
      <c r="C4" s="886"/>
      <c r="D4" s="887"/>
      <c r="E4" s="969" t="s">
        <v>15</v>
      </c>
      <c r="F4" s="969"/>
      <c r="G4" s="969"/>
      <c r="H4" s="969"/>
      <c r="I4" s="936" t="s">
        <v>16</v>
      </c>
      <c r="J4" s="936"/>
      <c r="K4" s="936"/>
      <c r="L4" s="936"/>
      <c r="M4" s="936" t="s">
        <v>17</v>
      </c>
      <c r="N4" s="936" t="s">
        <v>18</v>
      </c>
      <c r="O4" s="936"/>
      <c r="P4" s="936"/>
      <c r="Q4" s="936"/>
      <c r="R4" s="934"/>
      <c r="S4" s="952" t="s">
        <v>264</v>
      </c>
      <c r="T4" s="955" t="s">
        <v>265</v>
      </c>
      <c r="U4" s="952" t="s">
        <v>264</v>
      </c>
      <c r="V4" s="957" t="s">
        <v>266</v>
      </c>
      <c r="W4" s="950" t="s">
        <v>265</v>
      </c>
      <c r="X4" s="952" t="s">
        <v>264</v>
      </c>
      <c r="Y4" s="950" t="s">
        <v>265</v>
      </c>
      <c r="Z4" s="952" t="s">
        <v>264</v>
      </c>
      <c r="AA4" s="950" t="s">
        <v>265</v>
      </c>
      <c r="AB4" s="952" t="s">
        <v>264</v>
      </c>
      <c r="AC4" s="950" t="s">
        <v>265</v>
      </c>
      <c r="AD4" s="962" t="s">
        <v>264</v>
      </c>
      <c r="AE4" s="950" t="s">
        <v>265</v>
      </c>
      <c r="AF4" s="952" t="s">
        <v>264</v>
      </c>
      <c r="AG4" s="950" t="s">
        <v>265</v>
      </c>
      <c r="AH4" s="952" t="s">
        <v>264</v>
      </c>
      <c r="AI4" s="950" t="s">
        <v>265</v>
      </c>
      <c r="AJ4" s="952" t="s">
        <v>264</v>
      </c>
      <c r="AK4" s="950" t="s">
        <v>265</v>
      </c>
    </row>
    <row r="5" spans="1:45" ht="15.75" customHeight="1" x14ac:dyDescent="0.25">
      <c r="A5" s="944"/>
      <c r="B5" s="968"/>
      <c r="C5" s="888" t="s">
        <v>20</v>
      </c>
      <c r="D5" s="971" t="s">
        <v>21</v>
      </c>
      <c r="E5" s="971"/>
      <c r="F5" s="888" t="s">
        <v>22</v>
      </c>
      <c r="G5" s="888" t="s">
        <v>23</v>
      </c>
      <c r="H5" s="888" t="s">
        <v>24</v>
      </c>
      <c r="I5" s="972" t="s">
        <v>25</v>
      </c>
      <c r="J5" s="936" t="s">
        <v>26</v>
      </c>
      <c r="K5" s="888" t="s">
        <v>23</v>
      </c>
      <c r="L5" s="936" t="s">
        <v>27</v>
      </c>
      <c r="M5" s="968"/>
      <c r="N5" s="972" t="s">
        <v>28</v>
      </c>
      <c r="O5" s="889"/>
      <c r="P5" s="889"/>
      <c r="Q5" s="888" t="s">
        <v>22</v>
      </c>
      <c r="R5" s="890" t="s">
        <v>29</v>
      </c>
      <c r="S5" s="953"/>
      <c r="T5" s="956"/>
      <c r="U5" s="953"/>
      <c r="V5" s="958"/>
      <c r="W5" s="951"/>
      <c r="X5" s="953"/>
      <c r="Y5" s="951"/>
      <c r="Z5" s="953"/>
      <c r="AA5" s="951"/>
      <c r="AB5" s="953"/>
      <c r="AC5" s="951"/>
      <c r="AD5" s="963"/>
      <c r="AE5" s="951"/>
      <c r="AF5" s="953"/>
      <c r="AG5" s="951"/>
      <c r="AH5" s="953"/>
      <c r="AI5" s="951"/>
      <c r="AJ5" s="953"/>
      <c r="AK5" s="951"/>
    </row>
    <row r="6" spans="1:45" ht="15.75" customHeight="1" x14ac:dyDescent="0.25">
      <c r="A6" s="944"/>
      <c r="B6" s="968"/>
      <c r="C6" s="888" t="s">
        <v>30</v>
      </c>
      <c r="D6" s="971">
        <v>2010</v>
      </c>
      <c r="E6" s="971"/>
      <c r="F6" s="888" t="s">
        <v>31</v>
      </c>
      <c r="G6" s="888" t="s">
        <v>32</v>
      </c>
      <c r="H6" s="888" t="s">
        <v>33</v>
      </c>
      <c r="I6" s="972"/>
      <c r="J6" s="936"/>
      <c r="K6" s="888" t="s">
        <v>32</v>
      </c>
      <c r="L6" s="936"/>
      <c r="M6" s="968"/>
      <c r="N6" s="973"/>
      <c r="O6" s="891"/>
      <c r="P6" s="891"/>
      <c r="Q6" s="888" t="s">
        <v>34</v>
      </c>
      <c r="R6" s="890" t="s">
        <v>35</v>
      </c>
      <c r="S6" s="953"/>
      <c r="T6" s="956"/>
      <c r="U6" s="953"/>
      <c r="V6" s="958"/>
      <c r="W6" s="951"/>
      <c r="X6" s="953"/>
      <c r="Y6" s="951"/>
      <c r="Z6" s="953"/>
      <c r="AA6" s="951"/>
      <c r="AB6" s="953"/>
      <c r="AC6" s="951"/>
      <c r="AD6" s="963"/>
      <c r="AE6" s="951"/>
      <c r="AF6" s="953"/>
      <c r="AG6" s="951"/>
      <c r="AH6" s="953"/>
      <c r="AI6" s="951"/>
      <c r="AJ6" s="953"/>
      <c r="AK6" s="951"/>
    </row>
    <row r="7" spans="1:45" ht="15.75" customHeight="1" thickBot="1" x14ac:dyDescent="0.3">
      <c r="A7" s="945"/>
      <c r="B7" s="892">
        <v>2014</v>
      </c>
      <c r="C7" s="892" t="s">
        <v>36</v>
      </c>
      <c r="D7" s="893" t="s">
        <v>37</v>
      </c>
      <c r="E7" s="893" t="s">
        <v>38</v>
      </c>
      <c r="F7" s="893" t="s">
        <v>39</v>
      </c>
      <c r="G7" s="894">
        <v>0.6</v>
      </c>
      <c r="H7" s="894">
        <v>0.6</v>
      </c>
      <c r="I7" s="893" t="s">
        <v>40</v>
      </c>
      <c r="J7" s="893"/>
      <c r="K7" s="894">
        <v>0.3</v>
      </c>
      <c r="L7" s="893" t="s">
        <v>41</v>
      </c>
      <c r="M7" s="970"/>
      <c r="N7" s="974"/>
      <c r="O7" s="895"/>
      <c r="P7" s="895"/>
      <c r="Q7" s="893" t="s">
        <v>42</v>
      </c>
      <c r="R7" s="896" t="s">
        <v>43</v>
      </c>
      <c r="S7" s="954"/>
      <c r="T7" s="897" t="s">
        <v>44</v>
      </c>
      <c r="U7" s="954"/>
      <c r="V7" s="959"/>
      <c r="W7" s="854" t="s">
        <v>44</v>
      </c>
      <c r="X7" s="954"/>
      <c r="Y7" s="854" t="s">
        <v>44</v>
      </c>
      <c r="Z7" s="954"/>
      <c r="AA7" s="854" t="s">
        <v>44</v>
      </c>
      <c r="AB7" s="954"/>
      <c r="AC7" s="854" t="s">
        <v>44</v>
      </c>
      <c r="AD7" s="964"/>
      <c r="AE7" s="855" t="s">
        <v>44</v>
      </c>
      <c r="AF7" s="954"/>
      <c r="AG7" s="854" t="s">
        <v>44</v>
      </c>
      <c r="AH7" s="954"/>
      <c r="AI7" s="854" t="s">
        <v>44</v>
      </c>
      <c r="AJ7" s="954"/>
      <c r="AK7" s="854" t="s">
        <v>44</v>
      </c>
    </row>
    <row r="8" spans="1:45" ht="27" customHeight="1" x14ac:dyDescent="0.25">
      <c r="A8" s="15" t="s">
        <v>45</v>
      </c>
      <c r="B8" s="16">
        <v>3.62</v>
      </c>
      <c r="C8" s="17">
        <f>[1]Datos!I$13*B8%</f>
        <v>35350314.182820007</v>
      </c>
      <c r="D8" s="18">
        <f>E8/E$28*100</f>
        <v>3.3707564846877225</v>
      </c>
      <c r="E8" s="19">
        <v>36572</v>
      </c>
      <c r="F8" s="20">
        <f>D8</f>
        <v>3.3707564846877225</v>
      </c>
      <c r="G8" s="20">
        <f>F8*0.6</f>
        <v>2.0224538908126335</v>
      </c>
      <c r="H8" s="21">
        <f>[1]Datos!$K$18*Consolidado!G8/100</f>
        <v>5653240.9108052226</v>
      </c>
      <c r="I8" s="18">
        <v>1.210777</v>
      </c>
      <c r="J8" s="18">
        <f>I8/$I$28*100</f>
        <v>5.6616379474610792</v>
      </c>
      <c r="K8" s="18">
        <f>J8*0.3</f>
        <v>1.6984913842383238</v>
      </c>
      <c r="L8" s="19">
        <f>[1]Datos!$K$18*Consolidado!K8/100</f>
        <v>4747688.4509679256</v>
      </c>
      <c r="M8" s="22">
        <f>H8+L8</f>
        <v>10400929.361773148</v>
      </c>
      <c r="N8" s="18">
        <f>K8+G8</f>
        <v>3.7209452750509575</v>
      </c>
      <c r="O8" s="18">
        <f>1/N8</f>
        <v>0.26874891353684455</v>
      </c>
      <c r="P8" s="18">
        <f>O8/$O$28*100</f>
        <v>4.2169783378374488</v>
      </c>
      <c r="Q8" s="18">
        <f>P8*0.1</f>
        <v>0.42169783378374492</v>
      </c>
      <c r="R8" s="23">
        <f>Q8*[1]Datos!$K$18/100</f>
        <v>1178746.0059157736</v>
      </c>
      <c r="S8" s="856">
        <f>FGP!U8</f>
        <v>3.8084072470153756</v>
      </c>
      <c r="T8" s="857">
        <f>FGP!T8</f>
        <v>72048937.722912297</v>
      </c>
      <c r="U8" s="858">
        <f>FFM!S8</f>
        <v>2.2640991441239571</v>
      </c>
      <c r="V8" s="859">
        <f>FFM!N8</f>
        <v>0</v>
      </c>
      <c r="W8" s="860">
        <f>FFM!Q8</f>
        <v>18393073.737561811</v>
      </c>
      <c r="X8" s="861">
        <f>FOFIR!I7</f>
        <v>0.22587269026860743</v>
      </c>
      <c r="Y8" s="860">
        <f>FOFIR!K7</f>
        <v>1716963.2214310772</v>
      </c>
      <c r="Z8" s="861">
        <f>'IEPS TyA'!E8</f>
        <v>0.05</v>
      </c>
      <c r="AA8" s="860">
        <f>'IEPS TyA'!G8</f>
        <v>1574100.0225000002</v>
      </c>
      <c r="AB8" s="861">
        <f>'IEPS GyD '!D8</f>
        <v>3.0136241193535018</v>
      </c>
      <c r="AC8" s="860">
        <f>'IEPS GyD '!E8</f>
        <v>2199795.1617381759</v>
      </c>
      <c r="AD8" s="862">
        <f>FGP!F8+FGP!L8+FGP!R8</f>
        <v>3.8084072470153756</v>
      </c>
      <c r="AE8" s="863">
        <f>'Incentivo ISAN'!I7</f>
        <v>583204.89103926229</v>
      </c>
      <c r="AF8" s="864">
        <f>FGP!F8+FGP!L8+FGP!R8</f>
        <v>3.8084072470153756</v>
      </c>
      <c r="AG8" s="865">
        <f>'FOCO ISAN'!I7</f>
        <v>113361.72420274239</v>
      </c>
      <c r="AH8" s="866">
        <f>'ISR 2024'!B4</f>
        <v>0.14937893214050901</v>
      </c>
      <c r="AI8" s="867">
        <f>'ISR 2024'!O4</f>
        <v>393757.63668050215</v>
      </c>
      <c r="AJ8" s="864">
        <f>'ISR Enaje'!T8</f>
        <v>3.8084072470153756</v>
      </c>
      <c r="AK8" s="865">
        <f>'ISR Enaje'!S8</f>
        <v>1332942.5364553817</v>
      </c>
      <c r="AL8" s="24"/>
    </row>
    <row r="9" spans="1:45" ht="27" customHeight="1" x14ac:dyDescent="0.25">
      <c r="A9" s="25" t="s">
        <v>46</v>
      </c>
      <c r="B9" s="26">
        <v>2.4700000000000002</v>
      </c>
      <c r="C9" s="27">
        <f>[1]Datos!I$13*B9%</f>
        <v>24120241.997670002</v>
      </c>
      <c r="D9" s="28">
        <f t="shared" ref="D9:D27" si="0">E9/E$28*100</f>
        <v>1.4036216369164749</v>
      </c>
      <c r="E9" s="29">
        <v>15229</v>
      </c>
      <c r="F9" s="30">
        <f t="shared" ref="F9:F28" si="1">D9</f>
        <v>1.4036216369164749</v>
      </c>
      <c r="G9" s="30">
        <f t="shared" ref="G9:G27" si="2">F9*0.6</f>
        <v>0.8421729821498849</v>
      </c>
      <c r="H9" s="31">
        <f>[1]Datos!$K$18*Consolidado!G9/100</f>
        <v>2354074.314520746</v>
      </c>
      <c r="I9" s="28">
        <v>1.1581699999999999</v>
      </c>
      <c r="J9" s="28">
        <f t="shared" ref="J9:J27" si="3">I9/$I$28*100</f>
        <v>5.4156456734898315</v>
      </c>
      <c r="K9" s="28">
        <f t="shared" ref="K9:K27" si="4">J9*0.3</f>
        <v>1.6246937020469494</v>
      </c>
      <c r="L9" s="32">
        <f>[1]Datos!$K$18*Consolidado!K9/100</f>
        <v>4541406.3310234025</v>
      </c>
      <c r="M9" s="33">
        <f t="shared" ref="M9:M28" si="5">H9+L9</f>
        <v>6895480.645544149</v>
      </c>
      <c r="N9" s="28">
        <f t="shared" ref="N9:N27" si="6">K9+G9</f>
        <v>2.4668666841968343</v>
      </c>
      <c r="O9" s="28">
        <f t="shared" ref="O9:O27" si="7">1/N9</f>
        <v>0.40537253448115756</v>
      </c>
      <c r="P9" s="28">
        <f t="shared" ref="P9:P27" si="8">O9/$O$28*100</f>
        <v>6.3607594693659895</v>
      </c>
      <c r="Q9" s="28">
        <f t="shared" ref="Q9:Q27" si="9">P9*0.1</f>
        <v>0.63607594693659897</v>
      </c>
      <c r="R9" s="34">
        <f>Q9*[1]Datos!$K$18/100</f>
        <v>1777983.9540155372</v>
      </c>
      <c r="S9" s="856">
        <f>FGP!U9</f>
        <v>2.8691330261854757</v>
      </c>
      <c r="T9" s="857">
        <f>FGP!T9</f>
        <v>51767819.051553659</v>
      </c>
      <c r="U9" s="858">
        <f>FFM!S9</f>
        <v>1.0150813719631504</v>
      </c>
      <c r="V9" s="859">
        <f>FFM!N9</f>
        <v>0</v>
      </c>
      <c r="W9" s="860">
        <f>FFM!Q9</f>
        <v>11909435.534720203</v>
      </c>
      <c r="X9" s="861">
        <f>FOFIR!I8</f>
        <v>4.8352766877857202E-2</v>
      </c>
      <c r="Y9" s="860">
        <f>FOFIR!K8</f>
        <v>679917.54206756142</v>
      </c>
      <c r="Z9" s="861">
        <f>'IEPS TyA'!E9</f>
        <v>0.05</v>
      </c>
      <c r="AA9" s="860">
        <f>'IEPS TyA'!G9</f>
        <v>1953324.0225000002</v>
      </c>
      <c r="AB9" s="861">
        <f>'IEPS GyD '!D9</f>
        <v>1.2459367229589724</v>
      </c>
      <c r="AC9" s="860">
        <f>'IEPS GyD '!E9</f>
        <v>909471.60841845046</v>
      </c>
      <c r="AD9" s="868">
        <f>FGP!F9+FGP!L9+FGP!R9</f>
        <v>2.8691330261854757</v>
      </c>
      <c r="AE9" s="863">
        <f>'Incentivo ISAN'!I8</f>
        <v>439368.03639500414</v>
      </c>
      <c r="AF9" s="864">
        <f>FGP!F9+FGP!L9+FGP!R9</f>
        <v>2.8691330261854757</v>
      </c>
      <c r="AG9" s="865">
        <f>'FOCO ISAN'!I8</f>
        <v>85403.1214939825</v>
      </c>
      <c r="AH9" s="866">
        <f>'ISR 2024'!B5</f>
        <v>1.476900055165081</v>
      </c>
      <c r="AI9" s="869">
        <f>'ISR 2024'!O5</f>
        <v>3893056.8521409426</v>
      </c>
      <c r="AJ9" s="864">
        <f>'ISR Enaje'!T9</f>
        <v>2.8691330261854757</v>
      </c>
      <c r="AK9" s="865">
        <f>'ISR Enaje'!S9</f>
        <v>1004196.5591649165</v>
      </c>
      <c r="AL9" s="24"/>
    </row>
    <row r="10" spans="1:45" ht="27" customHeight="1" x14ac:dyDescent="0.25">
      <c r="A10" s="25" t="s">
        <v>47</v>
      </c>
      <c r="B10" s="26">
        <v>2.33</v>
      </c>
      <c r="C10" s="27">
        <f>[1]Datos!I$13*B10%</f>
        <v>22753102.77513</v>
      </c>
      <c r="D10" s="28">
        <f t="shared" si="0"/>
        <v>1.0311720319010782</v>
      </c>
      <c r="E10" s="32">
        <v>11188</v>
      </c>
      <c r="F10" s="30">
        <f t="shared" si="1"/>
        <v>1.0311720319010782</v>
      </c>
      <c r="G10" s="30">
        <f t="shared" si="2"/>
        <v>0.61870321914064685</v>
      </c>
      <c r="H10" s="31">
        <f>[1]Datos!$K$18*Consolidado!G10/100</f>
        <v>1729423.0370252877</v>
      </c>
      <c r="I10" s="28">
        <v>1.096811</v>
      </c>
      <c r="J10" s="28">
        <f t="shared" si="3"/>
        <v>5.1287287244411921</v>
      </c>
      <c r="K10" s="28">
        <f t="shared" si="4"/>
        <v>1.5386186173323575</v>
      </c>
      <c r="L10" s="32">
        <f>[1]Datos!$K$18*Consolidado!K10/100</f>
        <v>4300805.943286485</v>
      </c>
      <c r="M10" s="33">
        <f t="shared" si="5"/>
        <v>6030228.9803117728</v>
      </c>
      <c r="N10" s="28">
        <f t="shared" si="6"/>
        <v>2.1573218364730042</v>
      </c>
      <c r="O10" s="28">
        <f t="shared" si="7"/>
        <v>0.46353769896238362</v>
      </c>
      <c r="P10" s="28">
        <f t="shared" si="8"/>
        <v>7.2734375353201246</v>
      </c>
      <c r="Q10" s="28">
        <f t="shared" si="9"/>
        <v>0.72734375353201253</v>
      </c>
      <c r="R10" s="34">
        <f>Q10*[1]Datos!$K$18/100</f>
        <v>2033099.2376956686</v>
      </c>
      <c r="S10" s="856">
        <f>FGP!U10</f>
        <v>2.8805714770770665</v>
      </c>
      <c r="T10" s="857">
        <f>FGP!T10</f>
        <v>50510903.178546801</v>
      </c>
      <c r="U10" s="858">
        <f>FFM!S10</f>
        <v>0.68554266374834294</v>
      </c>
      <c r="V10" s="859">
        <f>FFM!N10</f>
        <v>0</v>
      </c>
      <c r="W10" s="860">
        <f>FFM!Q10</f>
        <v>10905525.98638591</v>
      </c>
      <c r="X10" s="861">
        <f>FOFIR!I9</f>
        <v>2.0208416286846373E-2</v>
      </c>
      <c r="Y10" s="860">
        <f>FOFIR!K9</f>
        <v>490134.80297374213</v>
      </c>
      <c r="Z10" s="861">
        <f>'IEPS TyA'!E10</f>
        <v>0.05</v>
      </c>
      <c r="AA10" s="860">
        <f>'IEPS TyA'!G10</f>
        <v>2023398.0225000002</v>
      </c>
      <c r="AB10" s="861">
        <f>'IEPS GyD '!D10</f>
        <v>0.93374430169912959</v>
      </c>
      <c r="AC10" s="860">
        <f>'IEPS GyD '!E10</f>
        <v>681586.72609077126</v>
      </c>
      <c r="AD10" s="868">
        <f>FGP!F10+FGP!L10+FGP!R10</f>
        <v>2.8805714770770665</v>
      </c>
      <c r="AE10" s="863">
        <f>'Incentivo ISAN'!I9</f>
        <v>441119.67692953895</v>
      </c>
      <c r="AF10" s="864">
        <f>FGP!F10+FGP!L10+FGP!R10</f>
        <v>2.8805714770770665</v>
      </c>
      <c r="AG10" s="865">
        <f>'FOCO ISAN'!I9</f>
        <v>85743.600447827412</v>
      </c>
      <c r="AH10" s="866">
        <f>'ISR 2024'!B6</f>
        <v>1.5012186032025194</v>
      </c>
      <c r="AI10" s="869">
        <f>'ISR 2024'!O6</f>
        <v>3957159.6935892673</v>
      </c>
      <c r="AJ10" s="864">
        <f>'ISR Enaje'!T10</f>
        <v>2.8805714770770665</v>
      </c>
      <c r="AK10" s="865">
        <f>'ISR Enaje'!S10</f>
        <v>1008200.0169769733</v>
      </c>
      <c r="AL10" s="24"/>
    </row>
    <row r="11" spans="1:45" ht="27" customHeight="1" x14ac:dyDescent="0.25">
      <c r="A11" s="25" t="s">
        <v>48</v>
      </c>
      <c r="B11" s="26">
        <v>2.81</v>
      </c>
      <c r="C11" s="27">
        <f>[1]Datos!I$13*B11%</f>
        <v>27440437.252410002</v>
      </c>
      <c r="D11" s="28">
        <f t="shared" si="0"/>
        <v>11.447687005923617</v>
      </c>
      <c r="E11" s="32">
        <v>124205</v>
      </c>
      <c r="F11" s="30">
        <f t="shared" si="1"/>
        <v>11.447687005923617</v>
      </c>
      <c r="G11" s="30">
        <f t="shared" si="2"/>
        <v>6.8686122035541706</v>
      </c>
      <c r="H11" s="31">
        <f>[1]Datos!$K$18*Consolidado!G11/100</f>
        <v>19199409.037694484</v>
      </c>
      <c r="I11" s="28">
        <v>0.95977000000000001</v>
      </c>
      <c r="J11" s="28">
        <f t="shared" si="3"/>
        <v>4.4879199496147679</v>
      </c>
      <c r="K11" s="28">
        <f t="shared" si="4"/>
        <v>1.3463759848844303</v>
      </c>
      <c r="L11" s="32">
        <f>[1]Datos!$K$18*Consolidado!K11/100</f>
        <v>3763441.9423110001</v>
      </c>
      <c r="M11" s="33">
        <f t="shared" si="5"/>
        <v>22962850.980005484</v>
      </c>
      <c r="N11" s="28">
        <f t="shared" si="6"/>
        <v>8.2149881884386016</v>
      </c>
      <c r="O11" s="28">
        <f t="shared" si="7"/>
        <v>0.12172872036594699</v>
      </c>
      <c r="P11" s="28">
        <f t="shared" si="8"/>
        <v>1.9100630775405734</v>
      </c>
      <c r="Q11" s="28">
        <f t="shared" si="9"/>
        <v>0.19100630775405736</v>
      </c>
      <c r="R11" s="34">
        <f>Q11*[1]Datos!$K$18/100</f>
        <v>533908.17863502365</v>
      </c>
      <c r="S11" s="856">
        <f>FGP!U11</f>
        <v>10.639066083702961</v>
      </c>
      <c r="T11" s="857">
        <f>FGP!T11</f>
        <v>129960744.48319884</v>
      </c>
      <c r="U11" s="858">
        <f>FFM!S11</f>
        <v>26.36251297229829</v>
      </c>
      <c r="V11" s="859">
        <f>FFM!N11</f>
        <v>0</v>
      </c>
      <c r="W11" s="860">
        <f>FFM!Q11</f>
        <v>44027527.789383397</v>
      </c>
      <c r="X11" s="861">
        <f>FOFIR!I10</f>
        <v>28.211882292405132</v>
      </c>
      <c r="Y11" s="860">
        <f>FOFIR!K10</f>
        <v>17384761.280816942</v>
      </c>
      <c r="Z11" s="861">
        <f>'IEPS TyA'!E11</f>
        <v>0.05</v>
      </c>
      <c r="AA11" s="860">
        <f>'IEPS TyA'!G11</f>
        <v>1809054.0225000002</v>
      </c>
      <c r="AB11" s="861">
        <f>'IEPS GyD '!D11</f>
        <v>15.187266887691669</v>
      </c>
      <c r="AC11" s="860">
        <f>'IEPS GyD '!E11</f>
        <v>11085946.65307417</v>
      </c>
      <c r="AD11" s="868">
        <f>FGP!F11+FGP!L11+FGP!R11</f>
        <v>10.639066083702961</v>
      </c>
      <c r="AE11" s="863">
        <f>'Incentivo ISAN'!I10</f>
        <v>1629225.808497272</v>
      </c>
      <c r="AF11" s="864">
        <f>FGP!F11+FGP!L11+FGP!R11</f>
        <v>10.639066083702961</v>
      </c>
      <c r="AG11" s="865">
        <f>'FOCO ISAN'!I10</f>
        <v>316684.3241621991</v>
      </c>
      <c r="AH11" s="866">
        <f>'ISR 2024'!B7</f>
        <v>22.727259320752001</v>
      </c>
      <c r="AI11" s="869">
        <f>'ISR 2024'!O7</f>
        <v>59908260.088153332</v>
      </c>
      <c r="AJ11" s="864">
        <f>'ISR Enaje'!T11</f>
        <v>10.639066083702961</v>
      </c>
      <c r="AK11" s="865">
        <f>'ISR Enaje'!S11</f>
        <v>3723673.129296036</v>
      </c>
      <c r="AL11" s="24"/>
    </row>
    <row r="12" spans="1:45" ht="27" customHeight="1" x14ac:dyDescent="0.25">
      <c r="A12" s="25" t="s">
        <v>49</v>
      </c>
      <c r="B12" s="26">
        <v>4.6399999999999997</v>
      </c>
      <c r="C12" s="27">
        <f>[1]Datos!I$13*B12%</f>
        <v>45310899.947039999</v>
      </c>
      <c r="D12" s="28">
        <f t="shared" si="0"/>
        <v>6.4885126808905982</v>
      </c>
      <c r="E12" s="32">
        <v>70399</v>
      </c>
      <c r="F12" s="30">
        <f t="shared" si="1"/>
        <v>6.4885126808905982</v>
      </c>
      <c r="G12" s="30">
        <f t="shared" si="2"/>
        <v>3.8931076085343586</v>
      </c>
      <c r="H12" s="31">
        <f>[1]Datos!$K$18*Consolidado!G12/100</f>
        <v>10882164.138679232</v>
      </c>
      <c r="I12" s="28">
        <v>0.95178300000000005</v>
      </c>
      <c r="J12" s="28">
        <f t="shared" si="3"/>
        <v>4.4505724427771165</v>
      </c>
      <c r="K12" s="28">
        <f t="shared" si="4"/>
        <v>1.3351717328331349</v>
      </c>
      <c r="L12" s="32">
        <f>[1]Datos!$K$18*Consolidado!K12/100</f>
        <v>3732123.3859972609</v>
      </c>
      <c r="M12" s="33">
        <f t="shared" si="5"/>
        <v>14614287.524676494</v>
      </c>
      <c r="N12" s="28">
        <f t="shared" si="6"/>
        <v>5.2282793413674931</v>
      </c>
      <c r="O12" s="28">
        <f t="shared" si="7"/>
        <v>0.19126751550701249</v>
      </c>
      <c r="P12" s="28">
        <f t="shared" si="8"/>
        <v>3.001206438419636</v>
      </c>
      <c r="Q12" s="28">
        <f t="shared" si="9"/>
        <v>0.30012064384196363</v>
      </c>
      <c r="R12" s="34">
        <f>Q12*[1]Datos!$K$18/100</f>
        <v>838908.76803271263</v>
      </c>
      <c r="S12" s="856">
        <f>FGP!U12</f>
        <v>5.6047496625614732</v>
      </c>
      <c r="T12" s="857">
        <f>FGP!T12</f>
        <v>99319461.679506525</v>
      </c>
      <c r="U12" s="858">
        <f>FFM!S12</f>
        <v>6.8724981068354936</v>
      </c>
      <c r="V12" s="859">
        <f>FFM!N12</f>
        <v>0</v>
      </c>
      <c r="W12" s="860">
        <f>FFM!Q12</f>
        <v>28376337.736192126</v>
      </c>
      <c r="X12" s="861">
        <f>FOFIR!I11</f>
        <v>2.3191993674755906</v>
      </c>
      <c r="Y12" s="860">
        <f>FOFIR!K11</f>
        <v>4032008.9442599425</v>
      </c>
      <c r="Z12" s="861">
        <f>'IEPS TyA'!E12</f>
        <v>0.05</v>
      </c>
      <c r="AA12" s="860">
        <f>'IEPS TyA'!G12</f>
        <v>1394793.0225000002</v>
      </c>
      <c r="AB12" s="861">
        <f>'IEPS GyD '!D12</f>
        <v>6.2678071902196431</v>
      </c>
      <c r="AC12" s="860">
        <f>'IEPS GyD '!E12</f>
        <v>4575186.3489567414</v>
      </c>
      <c r="AD12" s="868">
        <f>FGP!F12+FGP!L12+FGP!R12</f>
        <v>5.6047496625614723</v>
      </c>
      <c r="AE12" s="863">
        <f>'Incentivo ISAN'!I11</f>
        <v>858289.88452276972</v>
      </c>
      <c r="AF12" s="864">
        <f>FGP!F12+FGP!L12+FGP!R12</f>
        <v>5.6047496625614723</v>
      </c>
      <c r="AG12" s="865">
        <f>'FOCO ISAN'!I11</f>
        <v>166831.97049649508</v>
      </c>
      <c r="AH12" s="866">
        <f>'ISR 2024'!B8</f>
        <v>6.8596578399227575</v>
      </c>
      <c r="AI12" s="869">
        <f>'ISR 2024'!O8</f>
        <v>18081817.969780404</v>
      </c>
      <c r="AJ12" s="864">
        <f>'ISR Enaje'!T12</f>
        <v>5.6047496625614723</v>
      </c>
      <c r="AK12" s="865">
        <f>'ISR Enaje'!S12</f>
        <v>1961662.3818965158</v>
      </c>
      <c r="AL12" s="24"/>
    </row>
    <row r="13" spans="1:45" ht="27" customHeight="1" x14ac:dyDescent="0.25">
      <c r="A13" s="25" t="s">
        <v>50</v>
      </c>
      <c r="B13" s="26">
        <v>1.5</v>
      </c>
      <c r="C13" s="27">
        <f>[1]Datos!I$13*B13%</f>
        <v>14647920.2415</v>
      </c>
      <c r="D13" s="28">
        <f t="shared" si="0"/>
        <v>3.1613515100292262</v>
      </c>
      <c r="E13" s="32">
        <v>34300</v>
      </c>
      <c r="F13" s="30">
        <f t="shared" si="1"/>
        <v>3.1613515100292262</v>
      </c>
      <c r="G13" s="30">
        <f t="shared" si="2"/>
        <v>1.8968109060175355</v>
      </c>
      <c r="H13" s="31">
        <f>[1]Datos!$K$18*Consolidado!G13/100</f>
        <v>5302038.8067543237</v>
      </c>
      <c r="I13" s="28">
        <v>1.071404</v>
      </c>
      <c r="J13" s="28">
        <f t="shared" si="3"/>
        <v>5.0099246545495904</v>
      </c>
      <c r="K13" s="28">
        <f t="shared" si="4"/>
        <v>1.5029773963648771</v>
      </c>
      <c r="L13" s="32">
        <f>[1]Datos!$K$18*Consolidado!K13/100</f>
        <v>4201180.2314718887</v>
      </c>
      <c r="M13" s="33">
        <f t="shared" si="5"/>
        <v>9503219.0382262133</v>
      </c>
      <c r="N13" s="28">
        <f t="shared" si="6"/>
        <v>3.3997883023824125</v>
      </c>
      <c r="O13" s="28">
        <f t="shared" si="7"/>
        <v>0.29413596114182955</v>
      </c>
      <c r="P13" s="28">
        <f t="shared" si="8"/>
        <v>4.6153301986988051</v>
      </c>
      <c r="Q13" s="28">
        <f t="shared" si="9"/>
        <v>0.46153301986988055</v>
      </c>
      <c r="R13" s="34">
        <f>Q13*[1]Datos!$K$18/100</f>
        <v>1290094.8503540491</v>
      </c>
      <c r="S13" s="856">
        <f>FGP!U13</f>
        <v>3.6620290349041662</v>
      </c>
      <c r="T13" s="857">
        <f>FGP!T13</f>
        <v>49936012.14662838</v>
      </c>
      <c r="U13" s="858">
        <f>FFM!S13</f>
        <v>1.9304310336588137</v>
      </c>
      <c r="V13" s="859">
        <f>FFM!N13</f>
        <v>0.37670666953514986</v>
      </c>
      <c r="W13" s="860">
        <f>FFM!Q13</f>
        <v>9016399.8095269706</v>
      </c>
      <c r="X13" s="861">
        <f>FOFIR!I12</f>
        <v>2.3009140308193256E-3</v>
      </c>
      <c r="Y13" s="860">
        <f>FOFIR!K12</f>
        <v>1420461.4934836677</v>
      </c>
      <c r="Z13" s="861">
        <f>'IEPS TyA'!E13</f>
        <v>0.05</v>
      </c>
      <c r="AA13" s="860">
        <f>'IEPS TyA'!G13</f>
        <v>2722077.0225</v>
      </c>
      <c r="AB13" s="861">
        <f>'IEPS GyD '!D13</f>
        <v>3.8487813406547868</v>
      </c>
      <c r="AC13" s="860">
        <f>'IEPS GyD '!E13</f>
        <v>2809418.2407781016</v>
      </c>
      <c r="AD13" s="868">
        <f>FGP!F13+FGP!L13+FGP!R13</f>
        <v>3.6620290349041666</v>
      </c>
      <c r="AE13" s="863">
        <f>'Incentivo ISAN'!I12</f>
        <v>560789.09259445511</v>
      </c>
      <c r="AF13" s="864">
        <f>FGP!F13+FGP!L13+FGP!R13</f>
        <v>3.6620290349041666</v>
      </c>
      <c r="AG13" s="865">
        <f>'FOCO ISAN'!I12</f>
        <v>109004.60443209659</v>
      </c>
      <c r="AH13" s="866">
        <f>'ISR 2024'!B9</f>
        <v>2.8507040540026454</v>
      </c>
      <c r="AI13" s="869">
        <f>'ISR 2024'!O9</f>
        <v>7514356.1082882378</v>
      </c>
      <c r="AJ13" s="864">
        <f>'ISR Enaje'!T13</f>
        <v>3.6620290349041666</v>
      </c>
      <c r="AK13" s="865">
        <f>'ISR Enaje'!S13</f>
        <v>1281710.1622164582</v>
      </c>
      <c r="AL13" s="24"/>
    </row>
    <row r="14" spans="1:45" ht="27" customHeight="1" x14ac:dyDescent="0.25">
      <c r="A14" s="25" t="s">
        <v>51</v>
      </c>
      <c r="B14" s="26">
        <v>1.53</v>
      </c>
      <c r="C14" s="27">
        <f>[1]Datos!I$13*B14%</f>
        <v>14940878.646330001</v>
      </c>
      <c r="D14" s="28">
        <f t="shared" si="0"/>
        <v>1.050711580592804</v>
      </c>
      <c r="E14" s="32">
        <v>11400</v>
      </c>
      <c r="F14" s="30">
        <f t="shared" si="1"/>
        <v>1.050711580592804</v>
      </c>
      <c r="G14" s="30">
        <f t="shared" si="2"/>
        <v>0.63042694835568236</v>
      </c>
      <c r="H14" s="31">
        <f>[1]Datos!$K$18*Consolidado!G14/100</f>
        <v>1762193.6558891919</v>
      </c>
      <c r="I14" s="28">
        <v>1.737498</v>
      </c>
      <c r="J14" s="28">
        <f t="shared" si="3"/>
        <v>8.1246047872050173</v>
      </c>
      <c r="K14" s="28">
        <f t="shared" si="4"/>
        <v>2.4373814361615049</v>
      </c>
      <c r="L14" s="32">
        <f>[1]Datos!$K$18*Consolidado!K14/100</f>
        <v>6813062.3460636167</v>
      </c>
      <c r="M14" s="33">
        <f t="shared" si="5"/>
        <v>8575256.0019528084</v>
      </c>
      <c r="N14" s="28">
        <f t="shared" si="6"/>
        <v>3.0678083845171873</v>
      </c>
      <c r="O14" s="28">
        <f t="shared" si="7"/>
        <v>0.32596559975742434</v>
      </c>
      <c r="P14" s="28">
        <f t="shared" si="8"/>
        <v>5.1147736932852705</v>
      </c>
      <c r="Q14" s="28">
        <f t="shared" si="9"/>
        <v>0.51147736932852705</v>
      </c>
      <c r="R14" s="34">
        <f>Q14*[1]Datos!$K$18/100</f>
        <v>1429701.2171077179</v>
      </c>
      <c r="S14" s="856">
        <f>FGP!U14</f>
        <v>3.0697485567960188</v>
      </c>
      <c r="T14" s="857">
        <f>FGP!T14</f>
        <v>44521629.690453798</v>
      </c>
      <c r="U14" s="858">
        <f>FFM!S14</f>
        <v>0.50601948651644502</v>
      </c>
      <c r="V14" s="859">
        <f>FFM!N14</f>
        <v>0.17875638783139555</v>
      </c>
      <c r="W14" s="860">
        <f>FFM!Q14</f>
        <v>7321304.7505075168</v>
      </c>
      <c r="X14" s="861">
        <f>FOFIR!I13</f>
        <v>1.0836514180027873E-3</v>
      </c>
      <c r="Y14" s="860">
        <f>FOFIR!K13</f>
        <v>489801.1610378332</v>
      </c>
      <c r="Z14" s="861">
        <f>'IEPS TyA'!E14</f>
        <v>0.05</v>
      </c>
      <c r="AA14" s="860">
        <f>'IEPS TyA'!G14</f>
        <v>2684979.0225</v>
      </c>
      <c r="AB14" s="861">
        <f>'IEPS GyD '!D14</f>
        <v>0.98991789266473262</v>
      </c>
      <c r="AC14" s="860">
        <f>'IEPS GyD '!E14</f>
        <v>722590.64321169676</v>
      </c>
      <c r="AD14" s="868">
        <f>FGP!F14+FGP!L14+FGP!R14</f>
        <v>3.0697485567960188</v>
      </c>
      <c r="AE14" s="863">
        <f>'Incentivo ISAN'!I13</f>
        <v>470089.52994383557</v>
      </c>
      <c r="AF14" s="864">
        <f>FGP!F14+FGP!L14+FGP!R14</f>
        <v>3.0697485567960188</v>
      </c>
      <c r="AG14" s="865">
        <f>'FOCO ISAN'!I13</f>
        <v>91374.678887084854</v>
      </c>
      <c r="AH14" s="866">
        <f>'ISR 2024'!B10</f>
        <v>0.94565410140548312</v>
      </c>
      <c r="AI14" s="869">
        <f>'ISR 2024'!O10</f>
        <v>2492711.1122765196</v>
      </c>
      <c r="AJ14" s="864">
        <f>'ISR Enaje'!T14</f>
        <v>3.0697485567960188</v>
      </c>
      <c r="AK14" s="865">
        <f>'ISR Enaje'!S14</f>
        <v>1074411.9948786066</v>
      </c>
      <c r="AL14" s="24"/>
    </row>
    <row r="15" spans="1:45" ht="27" customHeight="1" x14ac:dyDescent="0.25">
      <c r="A15" s="25" t="s">
        <v>52</v>
      </c>
      <c r="B15" s="26">
        <v>3.16</v>
      </c>
      <c r="C15" s="27">
        <f>[1]Datos!I$13*B15%</f>
        <v>30858285.308760002</v>
      </c>
      <c r="D15" s="28">
        <f t="shared" si="0"/>
        <v>2.5136892050445216</v>
      </c>
      <c r="E15" s="32">
        <v>27273</v>
      </c>
      <c r="F15" s="30">
        <f t="shared" si="1"/>
        <v>2.5136892050445216</v>
      </c>
      <c r="G15" s="30">
        <f t="shared" si="2"/>
        <v>1.5082135230267129</v>
      </c>
      <c r="H15" s="31">
        <f>[1]Datos!$K$18*Consolidado!G15/100</f>
        <v>4215816.4541285904</v>
      </c>
      <c r="I15" s="28">
        <v>0.789829</v>
      </c>
      <c r="J15" s="28">
        <f t="shared" si="3"/>
        <v>3.6932695602949481</v>
      </c>
      <c r="K15" s="28">
        <f t="shared" si="4"/>
        <v>1.1079808680884844</v>
      </c>
      <c r="L15" s="32">
        <f>[1]Datos!$K$18*Consolidado!K15/100</f>
        <v>3097070.7417960083</v>
      </c>
      <c r="M15" s="33">
        <f t="shared" si="5"/>
        <v>7312887.1959245987</v>
      </c>
      <c r="N15" s="28">
        <f t="shared" si="6"/>
        <v>2.6161943911151972</v>
      </c>
      <c r="O15" s="28">
        <f t="shared" si="7"/>
        <v>0.38223459365102186</v>
      </c>
      <c r="P15" s="28">
        <f t="shared" si="8"/>
        <v>5.9976986704263497</v>
      </c>
      <c r="Q15" s="28">
        <f t="shared" si="9"/>
        <v>0.59976986704263502</v>
      </c>
      <c r="R15" s="34">
        <f>Q15*[1]Datos!$K$18/100</f>
        <v>1676499.8029553366</v>
      </c>
      <c r="S15" s="856">
        <f>FGP!U15</f>
        <v>3.4287748252403007</v>
      </c>
      <c r="T15" s="857">
        <f>FGP!T15</f>
        <v>63898689.959248148</v>
      </c>
      <c r="U15" s="858">
        <f>FFM!S15</f>
        <v>1.9747121324163293</v>
      </c>
      <c r="V15" s="859">
        <f>FFM!N15</f>
        <v>0</v>
      </c>
      <c r="W15" s="860">
        <f>FFM!Q15</f>
        <v>16053796.427288722</v>
      </c>
      <c r="X15" s="861">
        <f>FOFIR!I14</f>
        <v>0.18517918978003431</v>
      </c>
      <c r="Y15" s="860">
        <f>FOFIR!K14</f>
        <v>1283147.3638001829</v>
      </c>
      <c r="Z15" s="861">
        <f>'IEPS TyA'!E15</f>
        <v>0.05</v>
      </c>
      <c r="AA15" s="860">
        <f>'IEPS TyA'!G15</f>
        <v>1693638.0225</v>
      </c>
      <c r="AB15" s="861">
        <f>'IEPS GyD '!D15</f>
        <v>2.3715130283878989</v>
      </c>
      <c r="AC15" s="860">
        <f>'IEPS GyD '!E15</f>
        <v>1731086.1206426416</v>
      </c>
      <c r="AD15" s="868">
        <f>FGP!F15+FGP!L15+FGP!R15</f>
        <v>3.4287748252403007</v>
      </c>
      <c r="AE15" s="863">
        <f>'Incentivo ISAN'!I14</f>
        <v>525069.43681497569</v>
      </c>
      <c r="AF15" s="864">
        <f>FGP!F15+FGP!L15+FGP!R15</f>
        <v>3.4287748252403007</v>
      </c>
      <c r="AG15" s="865">
        <f>'FOCO ISAN'!I14</f>
        <v>102061.51834124688</v>
      </c>
      <c r="AH15" s="866">
        <f>'ISR 2024'!B11</f>
        <v>3.1859671037310564</v>
      </c>
      <c r="AI15" s="869">
        <f>'ISR 2024'!O11</f>
        <v>8398097.7727632746</v>
      </c>
      <c r="AJ15" s="864">
        <f>'ISR Enaje'!T15</f>
        <v>3.4287748252403007</v>
      </c>
      <c r="AK15" s="865">
        <f>'ISR Enaje'!S15</f>
        <v>1200071.1888341052</v>
      </c>
      <c r="AL15" s="24"/>
    </row>
    <row r="16" spans="1:45" ht="27" customHeight="1" x14ac:dyDescent="0.25">
      <c r="A16" s="25" t="s">
        <v>53</v>
      </c>
      <c r="B16" s="26">
        <v>2.81</v>
      </c>
      <c r="C16" s="27">
        <f>[1]Datos!I$13*B16%</f>
        <v>27440437.252410002</v>
      </c>
      <c r="D16" s="28">
        <f t="shared" si="0"/>
        <v>1.6311836450290742</v>
      </c>
      <c r="E16" s="32">
        <v>17698</v>
      </c>
      <c r="F16" s="30">
        <f t="shared" si="1"/>
        <v>1.6311836450290742</v>
      </c>
      <c r="G16" s="30">
        <f t="shared" si="2"/>
        <v>0.9787101870174445</v>
      </c>
      <c r="H16" s="31">
        <f>[1]Datos!$K$18*Consolidado!G16/100</f>
        <v>2735728.3615725366</v>
      </c>
      <c r="I16" s="28">
        <v>1.0861320000000001</v>
      </c>
      <c r="J16" s="28">
        <f t="shared" si="3"/>
        <v>5.0787933262291878</v>
      </c>
      <c r="K16" s="28">
        <f t="shared" si="4"/>
        <v>1.5236379978687562</v>
      </c>
      <c r="L16" s="32">
        <f>[1]Datos!$K$18*Consolidado!K16/100</f>
        <v>4258931.5395210637</v>
      </c>
      <c r="M16" s="33">
        <f t="shared" si="5"/>
        <v>6994659.9010936003</v>
      </c>
      <c r="N16" s="28">
        <f t="shared" si="6"/>
        <v>2.5023481848862006</v>
      </c>
      <c r="O16" s="28">
        <f t="shared" si="7"/>
        <v>0.3996246429812792</v>
      </c>
      <c r="P16" s="28">
        <f t="shared" si="8"/>
        <v>6.2705684668267221</v>
      </c>
      <c r="Q16" s="28">
        <f t="shared" si="9"/>
        <v>0.62705684668267225</v>
      </c>
      <c r="R16" s="34">
        <f>Q16*[1]Datos!$K$18/100</f>
        <v>1752773.4180593055</v>
      </c>
      <c r="S16" s="856">
        <f>FGP!U16</f>
        <v>2.8577348059446361</v>
      </c>
      <c r="T16" s="857">
        <f>FGP!T16</f>
        <v>54978178.627881527</v>
      </c>
      <c r="U16" s="858">
        <f>FFM!S16</f>
        <v>1.0290994615568358</v>
      </c>
      <c r="V16" s="859">
        <f>FFM!N16</f>
        <v>0</v>
      </c>
      <c r="W16" s="860">
        <f>FFM!Q16</f>
        <v>13396794.91322119</v>
      </c>
      <c r="X16" s="861">
        <f>FOFIR!I15</f>
        <v>3.8255788252077323E-2</v>
      </c>
      <c r="Y16" s="860">
        <f>FOFIR!K15</f>
        <v>763246.06052999757</v>
      </c>
      <c r="Z16" s="861">
        <f>'IEPS TyA'!E16</f>
        <v>0.05</v>
      </c>
      <c r="AA16" s="860">
        <f>'IEPS TyA'!G16</f>
        <v>1809054.0225000002</v>
      </c>
      <c r="AB16" s="861">
        <f>'IEPS GyD '!D16</f>
        <v>1.563876010153336</v>
      </c>
      <c r="AC16" s="860">
        <f>'IEPS GyD '!E16</f>
        <v>1141551.4159847256</v>
      </c>
      <c r="AD16" s="868">
        <f>FGP!F16+FGP!L16+FGP!R16</f>
        <v>2.8577348059446357</v>
      </c>
      <c r="AE16" s="863">
        <f>'Incentivo ISAN'!I15</f>
        <v>437622.55662815145</v>
      </c>
      <c r="AF16" s="864">
        <f>FGP!F16+FGP!L16+FGP!R16</f>
        <v>2.8577348059446357</v>
      </c>
      <c r="AG16" s="865">
        <f>'FOCO ISAN'!I15</f>
        <v>85063.840052808693</v>
      </c>
      <c r="AH16" s="866">
        <f>'ISR 2024'!B12</f>
        <v>2.1802263853267712</v>
      </c>
      <c r="AI16" s="869">
        <f>'ISR 2024'!O12</f>
        <v>5747000.4411816113</v>
      </c>
      <c r="AJ16" s="864">
        <f>'ISR Enaje'!T16</f>
        <v>2.8577348059446357</v>
      </c>
      <c r="AK16" s="865">
        <f>'ISR Enaje'!S16</f>
        <v>1000207.1820806225</v>
      </c>
      <c r="AL16" s="24"/>
    </row>
    <row r="17" spans="1:38" ht="27" customHeight="1" x14ac:dyDescent="0.25">
      <c r="A17" s="25" t="s">
        <v>54</v>
      </c>
      <c r="B17" s="26">
        <v>1.6</v>
      </c>
      <c r="C17" s="27">
        <f>[1]Datos!I$13*B17%</f>
        <v>15624448.2576</v>
      </c>
      <c r="D17" s="28">
        <f t="shared" si="0"/>
        <v>1.2534804821107137</v>
      </c>
      <c r="E17" s="32">
        <v>13600</v>
      </c>
      <c r="F17" s="30">
        <f t="shared" si="1"/>
        <v>1.2534804821107137</v>
      </c>
      <c r="G17" s="30">
        <f t="shared" si="2"/>
        <v>0.75208828926642823</v>
      </c>
      <c r="H17" s="31">
        <f>[1]Datos!$K$18*Consolidado!G17/100</f>
        <v>2102266.1157976328</v>
      </c>
      <c r="I17" s="28">
        <v>0.84773799999999999</v>
      </c>
      <c r="J17" s="28">
        <f t="shared" si="3"/>
        <v>3.9640541819878972</v>
      </c>
      <c r="K17" s="28">
        <f t="shared" si="4"/>
        <v>1.1892162545963691</v>
      </c>
      <c r="L17" s="32">
        <f>[1]Datos!$K$18*Consolidado!K17/100</f>
        <v>3324143.0189429163</v>
      </c>
      <c r="M17" s="33">
        <f t="shared" si="5"/>
        <v>5426409.1347405491</v>
      </c>
      <c r="N17" s="28">
        <f t="shared" si="6"/>
        <v>1.9413045438627974</v>
      </c>
      <c r="O17" s="28">
        <f t="shared" si="7"/>
        <v>0.51511752916943432</v>
      </c>
      <c r="P17" s="28">
        <f t="shared" si="8"/>
        <v>8.0827841622141037</v>
      </c>
      <c r="Q17" s="28">
        <f t="shared" si="9"/>
        <v>0.80827841622141039</v>
      </c>
      <c r="R17" s="34">
        <f>Q17*[1]Datos!$K$18/100</f>
        <v>2259330.9200575752</v>
      </c>
      <c r="S17" s="856">
        <f>FGP!U17</f>
        <v>3.0578406083142733</v>
      </c>
      <c r="T17" s="857">
        <f>FGP!T17</f>
        <v>45090451.77339451</v>
      </c>
      <c r="U17" s="858">
        <f>FFM!S17</f>
        <v>0.61480894132292185</v>
      </c>
      <c r="V17" s="859">
        <f>FFM!N17</f>
        <v>0</v>
      </c>
      <c r="W17" s="860">
        <f>FFM!Q17</f>
        <v>7662944.6849297574</v>
      </c>
      <c r="X17" s="861">
        <f>FOFIR!I16</f>
        <v>6.5489885090696488E-3</v>
      </c>
      <c r="Y17" s="860">
        <f>FOFIR!K16</f>
        <v>562943.09243813087</v>
      </c>
      <c r="Z17" s="861">
        <f>'IEPS TyA'!E17</f>
        <v>0.05</v>
      </c>
      <c r="AA17" s="860">
        <f>'IEPS TyA'!G17</f>
        <v>2600478.0225</v>
      </c>
      <c r="AB17" s="861">
        <f>'IEPS GyD '!D17</f>
        <v>1.1104401937422297</v>
      </c>
      <c r="AC17" s="860">
        <f>'IEPS GyD '!E17</f>
        <v>810565.9063140857</v>
      </c>
      <c r="AD17" s="868">
        <f>FGP!F17+FGP!L17+FGP!R17</f>
        <v>3.0578406083142737</v>
      </c>
      <c r="AE17" s="863">
        <f>'Incentivo ISAN'!I16</f>
        <v>468265.99234757666</v>
      </c>
      <c r="AF17" s="864">
        <f>FGP!F17+FGP!L17+FGP!R17</f>
        <v>3.0578406083142737</v>
      </c>
      <c r="AG17" s="865">
        <f>'FOCO ISAN'!I16</f>
        <v>91020.224784870341</v>
      </c>
      <c r="AH17" s="866">
        <f>'ISR 2024'!B13</f>
        <v>1.8439864867466385</v>
      </c>
      <c r="AI17" s="869">
        <f>'ISR 2024'!O13</f>
        <v>4860683.8373243194</v>
      </c>
      <c r="AJ17" s="864">
        <f>'ISR Enaje'!T17</f>
        <v>3.0578406083142737</v>
      </c>
      <c r="AK17" s="865">
        <f>'ISR Enaje'!S17</f>
        <v>1070244.2129099956</v>
      </c>
      <c r="AL17" s="24"/>
    </row>
    <row r="18" spans="1:38" ht="27" customHeight="1" x14ac:dyDescent="0.25">
      <c r="A18" s="25" t="s">
        <v>55</v>
      </c>
      <c r="B18" s="26">
        <v>2.84</v>
      </c>
      <c r="C18" s="27">
        <f>[1]Datos!I$13*B18%</f>
        <v>27733395.65724</v>
      </c>
      <c r="D18" s="28">
        <f t="shared" si="0"/>
        <v>3.1699231045024834</v>
      </c>
      <c r="E18" s="32">
        <v>34393</v>
      </c>
      <c r="F18" s="30">
        <f t="shared" si="1"/>
        <v>3.1699231045024834</v>
      </c>
      <c r="G18" s="30">
        <f t="shared" si="2"/>
        <v>1.90195386270149</v>
      </c>
      <c r="H18" s="31">
        <f>[1]Datos!$K$18*Consolidado!G18/100</f>
        <v>5316414.5971049992</v>
      </c>
      <c r="I18" s="28">
        <v>1.369108</v>
      </c>
      <c r="J18" s="28">
        <f t="shared" si="3"/>
        <v>6.4019995482013146</v>
      </c>
      <c r="K18" s="28">
        <f t="shared" si="4"/>
        <v>1.9205998644603943</v>
      </c>
      <c r="L18" s="32">
        <f>[1]Datos!$K$18*Consolidado!K18/100</f>
        <v>5368534.6184539311</v>
      </c>
      <c r="M18" s="33">
        <f t="shared" si="5"/>
        <v>10684949.215558931</v>
      </c>
      <c r="N18" s="28">
        <f t="shared" si="6"/>
        <v>3.8225537271618846</v>
      </c>
      <c r="O18" s="28">
        <f t="shared" si="7"/>
        <v>0.26160521770938344</v>
      </c>
      <c r="P18" s="28">
        <f t="shared" si="8"/>
        <v>4.1048855663354225</v>
      </c>
      <c r="Q18" s="28">
        <f t="shared" si="9"/>
        <v>0.41048855663354228</v>
      </c>
      <c r="R18" s="34">
        <f>Q18*[1]Datos!$K$18/100</f>
        <v>1147413.4032522747</v>
      </c>
      <c r="S18" s="856">
        <f>FGP!U18</f>
        <v>3.5047212504004186</v>
      </c>
      <c r="T18" s="857">
        <f>FGP!T18</f>
        <v>61505636.23949495</v>
      </c>
      <c r="U18" s="858">
        <f>FFM!S18</f>
        <v>1.5142697980566955</v>
      </c>
      <c r="V18" s="859">
        <f>FFM!N18</f>
        <v>19.747723141487931</v>
      </c>
      <c r="W18" s="860">
        <f>FFM!Q18</f>
        <v>24346180.693216652</v>
      </c>
      <c r="X18" s="861">
        <f>FOFIR!I17</f>
        <v>4.1891016822647398E-2</v>
      </c>
      <c r="Y18" s="860">
        <f>FOFIR!K17</f>
        <v>1514337.1281891249</v>
      </c>
      <c r="Z18" s="861">
        <f>'IEPS TyA'!E18</f>
        <v>0.05</v>
      </c>
      <c r="AA18" s="860">
        <f>'IEPS TyA'!G18</f>
        <v>1796688.0225</v>
      </c>
      <c r="AB18" s="861">
        <f>'IEPS GyD '!D18</f>
        <v>2.7169725186489848</v>
      </c>
      <c r="AC18" s="860">
        <f>'IEPS GyD '!E18</f>
        <v>1983254.3025909259</v>
      </c>
      <c r="AD18" s="868">
        <f>FGP!F18+FGP!L18+FGP!R18</f>
        <v>3.5047212504004186</v>
      </c>
      <c r="AE18" s="863">
        <f>'Incentivo ISAN'!I17</f>
        <v>536699.58131830825</v>
      </c>
      <c r="AF18" s="864">
        <f>FGP!F18+FGP!L18+FGP!R18</f>
        <v>3.5047212504004186</v>
      </c>
      <c r="AG18" s="865">
        <f>'FOCO ISAN'!I17</f>
        <v>104322.1530750802</v>
      </c>
      <c r="AH18" s="866">
        <f>'ISR 2024'!B14</f>
        <v>4.6261866540217129</v>
      </c>
      <c r="AI18" s="869">
        <f>'ISR 2024'!O14</f>
        <v>12194466.09791692</v>
      </c>
      <c r="AJ18" s="864">
        <f>'ISR Enaje'!T18</f>
        <v>3.5047212504004186</v>
      </c>
      <c r="AK18" s="865">
        <f>'ISR Enaje'!S18</f>
        <v>1226652.4376401466</v>
      </c>
      <c r="AL18" s="24"/>
    </row>
    <row r="19" spans="1:38" ht="27" customHeight="1" x14ac:dyDescent="0.25">
      <c r="A19" s="25" t="s">
        <v>56</v>
      </c>
      <c r="B19" s="26">
        <v>3.33</v>
      </c>
      <c r="C19" s="27">
        <f>[1]Datos!I$13*B19%</f>
        <v>32518382.936130002</v>
      </c>
      <c r="D19" s="28">
        <f t="shared" si="0"/>
        <v>2.1630833407835541</v>
      </c>
      <c r="E19" s="32">
        <v>23469</v>
      </c>
      <c r="F19" s="30">
        <f t="shared" si="1"/>
        <v>2.1630833407835541</v>
      </c>
      <c r="G19" s="30">
        <f t="shared" si="2"/>
        <v>1.2978500044701324</v>
      </c>
      <c r="H19" s="31">
        <f>[1]Datos!$K$18*Consolidado!G19/100</f>
        <v>3627800.2552687232</v>
      </c>
      <c r="I19" s="28">
        <v>0.71338900000000005</v>
      </c>
      <c r="J19" s="28">
        <f t="shared" si="3"/>
        <v>3.3358332985358259</v>
      </c>
      <c r="K19" s="28">
        <f t="shared" si="4"/>
        <v>1.0007499895607477</v>
      </c>
      <c r="L19" s="32">
        <f>[1]Datos!$K$18*Consolidado!K19/100</f>
        <v>2797334.8654191126</v>
      </c>
      <c r="M19" s="33">
        <f t="shared" si="5"/>
        <v>6425135.1206878358</v>
      </c>
      <c r="N19" s="28">
        <f t="shared" si="6"/>
        <v>2.2985999940308801</v>
      </c>
      <c r="O19" s="28">
        <f t="shared" si="7"/>
        <v>0.4350474212985514</v>
      </c>
      <c r="P19" s="28">
        <f t="shared" si="8"/>
        <v>6.8263924397094096</v>
      </c>
      <c r="Q19" s="28">
        <f t="shared" si="9"/>
        <v>0.682639243970941</v>
      </c>
      <c r="R19" s="34">
        <f>Q19*[1]Datos!$K$18/100</f>
        <v>1908139.4729780732</v>
      </c>
      <c r="S19" s="856">
        <f>FGP!U19</f>
        <v>2.9571648841167448</v>
      </c>
      <c r="T19" s="857">
        <f>FGP!T19</f>
        <v>61014253.726532087</v>
      </c>
      <c r="U19" s="858">
        <f>FFM!S19</f>
        <v>1.117005257867042</v>
      </c>
      <c r="V19" s="859">
        <f>FFM!N19</f>
        <v>0</v>
      </c>
      <c r="W19" s="860">
        <f>FFM!Q19</f>
        <v>15751944.596358337</v>
      </c>
      <c r="X19" s="861">
        <f>FOFIR!I18</f>
        <v>2.7375715037541992E-2</v>
      </c>
      <c r="Y19" s="860">
        <f>FOFIR!K18</f>
        <v>987254.41591869062</v>
      </c>
      <c r="Z19" s="861">
        <f>'IEPS TyA'!E19</f>
        <v>0.05</v>
      </c>
      <c r="AA19" s="860">
        <f>'IEPS TyA'!G19</f>
        <v>1646235.0225000002</v>
      </c>
      <c r="AB19" s="861">
        <f>'IEPS GyD '!D19</f>
        <v>1.9503729796933278</v>
      </c>
      <c r="AC19" s="860">
        <f>'IEPS GyD '!E19</f>
        <v>1423674.9091438302</v>
      </c>
      <c r="AD19" s="868">
        <f>FGP!F19+FGP!L19+FGP!R19</f>
        <v>2.9571648841167444</v>
      </c>
      <c r="AE19" s="863">
        <f>'Incentivo ISAN'!I18</f>
        <v>452848.89775851113</v>
      </c>
      <c r="AF19" s="864">
        <f>FGP!F19+FGP!L19+FGP!R19</f>
        <v>2.9571648841167444</v>
      </c>
      <c r="AG19" s="865">
        <f>'FOCO ISAN'!I18</f>
        <v>88023.49335880352</v>
      </c>
      <c r="AH19" s="866">
        <f>'ISR 2024'!B15</f>
        <v>0.34790299924803952</v>
      </c>
      <c r="AI19" s="869">
        <f>'ISR 2024'!O15</f>
        <v>917060.12899537489</v>
      </c>
      <c r="AJ19" s="864">
        <f>'ISR Enaje'!T19</f>
        <v>2.9571648841167444</v>
      </c>
      <c r="AK19" s="865">
        <f>'ISR Enaje'!S19</f>
        <v>1035007.7094408607</v>
      </c>
      <c r="AL19" s="24"/>
    </row>
    <row r="20" spans="1:38" ht="27" customHeight="1" x14ac:dyDescent="0.25">
      <c r="A20" s="25" t="s">
        <v>57</v>
      </c>
      <c r="B20" s="26">
        <v>4.6900000000000004</v>
      </c>
      <c r="C20" s="27">
        <f>[1]Datos!I$13*B20%</f>
        <v>45799163.955090009</v>
      </c>
      <c r="D20" s="28">
        <f t="shared" si="0"/>
        <v>3.9742704697510276</v>
      </c>
      <c r="E20" s="32">
        <v>43120</v>
      </c>
      <c r="F20" s="30">
        <f t="shared" si="1"/>
        <v>3.9742704697510276</v>
      </c>
      <c r="G20" s="30">
        <f t="shared" si="2"/>
        <v>2.3845622818506165</v>
      </c>
      <c r="H20" s="31">
        <f>[1]Datos!$K$18*Consolidado!G20/100</f>
        <v>6665420.2142054355</v>
      </c>
      <c r="I20" s="28">
        <v>0.39641700000000002</v>
      </c>
      <c r="J20" s="28">
        <f t="shared" si="3"/>
        <v>1.8536605256118004</v>
      </c>
      <c r="K20" s="28">
        <f t="shared" si="4"/>
        <v>0.5560981576835401</v>
      </c>
      <c r="L20" s="32">
        <f>[1]Datos!$K$18*Consolidado!K20/100</f>
        <v>1554426.96108974</v>
      </c>
      <c r="M20" s="33">
        <f t="shared" si="5"/>
        <v>8219847.175295176</v>
      </c>
      <c r="N20" s="28">
        <f t="shared" si="6"/>
        <v>2.9406604395341565</v>
      </c>
      <c r="O20" s="28">
        <f t="shared" si="7"/>
        <v>0.3400596636578736</v>
      </c>
      <c r="P20" s="28">
        <f t="shared" si="8"/>
        <v>5.3359257023412736</v>
      </c>
      <c r="Q20" s="28">
        <f t="shared" si="9"/>
        <v>0.53359257023412743</v>
      </c>
      <c r="R20" s="34">
        <f>Q20*[1]Datos!$K$18/100</f>
        <v>1491518.4773568413</v>
      </c>
      <c r="S20" s="856">
        <f>FGP!U20</f>
        <v>4.2498259986183484</v>
      </c>
      <c r="T20" s="857">
        <f>FGP!T20</f>
        <v>86751392.621396273</v>
      </c>
      <c r="U20" s="858">
        <f>FFM!S20</f>
        <v>2.1654266300957796</v>
      </c>
      <c r="V20" s="859">
        <f>FFM!N20</f>
        <v>0</v>
      </c>
      <c r="W20" s="860">
        <f>FFM!Q20</f>
        <v>22901235.322026663</v>
      </c>
      <c r="X20" s="861">
        <f>FOFIR!I19</f>
        <v>0.16136336900309145</v>
      </c>
      <c r="Y20" s="860">
        <f>FOFIR!K19</f>
        <v>1818339.6620848386</v>
      </c>
      <c r="Z20" s="861">
        <f>'IEPS TyA'!E20</f>
        <v>0.05</v>
      </c>
      <c r="AA20" s="860">
        <f>'IEPS TyA'!G20</f>
        <v>1388610.0225000002</v>
      </c>
      <c r="AB20" s="861">
        <f>'IEPS GyD '!D20</f>
        <v>3.3605405615416495</v>
      </c>
      <c r="AC20" s="860">
        <f>'IEPS GyD '!E20</f>
        <v>2453026.8458596258</v>
      </c>
      <c r="AD20" s="868">
        <f>FGP!F20+FGP!L20+FGP!R20</f>
        <v>4.2498259986183484</v>
      </c>
      <c r="AE20" s="863">
        <f>'Incentivo ISAN'!I19</f>
        <v>650802.06703273056</v>
      </c>
      <c r="AF20" s="864">
        <f>FGP!F20+FGP!L20+FGP!R20</f>
        <v>4.2498259986183484</v>
      </c>
      <c r="AG20" s="865">
        <f>'FOCO ISAN'!I19</f>
        <v>126501.07289407551</v>
      </c>
      <c r="AH20" s="866">
        <f>'ISR 2024'!B16</f>
        <v>5.7590964327315461</v>
      </c>
      <c r="AI20" s="869">
        <f>'ISR 2024'!O16</f>
        <v>15180776.621394295</v>
      </c>
      <c r="AJ20" s="864">
        <f>'ISR Enaje'!T20</f>
        <v>4.2498259986183484</v>
      </c>
      <c r="AK20" s="865">
        <f>'ISR Enaje'!S20</f>
        <v>1487439.0995164218</v>
      </c>
      <c r="AL20" s="24"/>
    </row>
    <row r="21" spans="1:38" ht="27" customHeight="1" x14ac:dyDescent="0.25">
      <c r="A21" s="25" t="s">
        <v>58</v>
      </c>
      <c r="B21" s="26">
        <v>2.13</v>
      </c>
      <c r="C21" s="27">
        <f>[1]Datos!I$13*B21%</f>
        <v>20800046.742929999</v>
      </c>
      <c r="D21" s="28">
        <f t="shared" si="0"/>
        <v>0.69217929563613667</v>
      </c>
      <c r="E21" s="32">
        <v>7510</v>
      </c>
      <c r="F21" s="30">
        <f t="shared" si="1"/>
        <v>0.69217929563613667</v>
      </c>
      <c r="G21" s="30">
        <f t="shared" si="2"/>
        <v>0.415307577381682</v>
      </c>
      <c r="H21" s="31">
        <f>[1]Datos!$K$18*Consolidado!G21/100</f>
        <v>1160883.7154147222</v>
      </c>
      <c r="I21" s="28">
        <v>0.79456599999999999</v>
      </c>
      <c r="J21" s="28">
        <f t="shared" si="3"/>
        <v>3.7154199471598481</v>
      </c>
      <c r="K21" s="28">
        <f t="shared" si="4"/>
        <v>1.1146259841479544</v>
      </c>
      <c r="L21" s="32">
        <f>[1]Datos!$K$18*Consolidado!K21/100</f>
        <v>3115645.4258148116</v>
      </c>
      <c r="M21" s="33">
        <f t="shared" si="5"/>
        <v>4276529.1412295336</v>
      </c>
      <c r="N21" s="28">
        <f t="shared" si="6"/>
        <v>1.5299335615296363</v>
      </c>
      <c r="O21" s="28">
        <f t="shared" si="7"/>
        <v>0.65362315406702642</v>
      </c>
      <c r="P21" s="28">
        <f t="shared" si="8"/>
        <v>10.256096091833161</v>
      </c>
      <c r="Q21" s="28">
        <f t="shared" si="9"/>
        <v>1.0256096091833162</v>
      </c>
      <c r="R21" s="34">
        <f>Q21*[1]Datos!$K$18/100</f>
        <v>2866823.43043203</v>
      </c>
      <c r="S21" s="856">
        <f>FGP!U21</f>
        <v>2.5967637526947485</v>
      </c>
      <c r="T21" s="857">
        <f>FGP!T21</f>
        <v>45823015.454426408</v>
      </c>
      <c r="U21" s="858">
        <f>FFM!S21</f>
        <v>0.43458157479748283</v>
      </c>
      <c r="V21" s="859">
        <f>FFM!N21</f>
        <v>0</v>
      </c>
      <c r="W21" s="860">
        <f>FFM!Q21</f>
        <v>9737140.8293430135</v>
      </c>
      <c r="X21" s="861">
        <f>FOFIR!I20</f>
        <v>7.6100903654580266E-3</v>
      </c>
      <c r="Y21" s="860">
        <f>FOFIR!K20</f>
        <v>334237.20795980841</v>
      </c>
      <c r="Z21" s="861">
        <f>'IEPS TyA'!E21</f>
        <v>0.05</v>
      </c>
      <c r="AA21" s="860">
        <f>'IEPS TyA'!G21</f>
        <v>2142936.0225</v>
      </c>
      <c r="AB21" s="861">
        <f>'IEPS GyD '!D21</f>
        <v>0.62187564753418989</v>
      </c>
      <c r="AC21" s="860">
        <f>'IEPS GyD '!E21</f>
        <v>453938.17757935135</v>
      </c>
      <c r="AD21" s="868">
        <f>FGP!F21+FGP!L21+FGP!R21</f>
        <v>2.5967637526947485</v>
      </c>
      <c r="AE21" s="863">
        <f>'Incentivo ISAN'!I20</f>
        <v>397658.44963978254</v>
      </c>
      <c r="AF21" s="864">
        <f>FGP!F21+FGP!L21+FGP!R21</f>
        <v>2.5967637526947485</v>
      </c>
      <c r="AG21" s="865">
        <f>'FOCO ISAN'!I20</f>
        <v>77295.729489896112</v>
      </c>
      <c r="AH21" s="866">
        <f>'ISR 2024'!B17</f>
        <v>0.93866311817563386</v>
      </c>
      <c r="AI21" s="869">
        <f>'ISR 2024'!O17</f>
        <v>2474283.1251754393</v>
      </c>
      <c r="AJ21" s="864">
        <f>'ISR Enaje'!T21</f>
        <v>2.5967637526947485</v>
      </c>
      <c r="AK21" s="865">
        <f>'ISR Enaje'!S21</f>
        <v>908867.31344316201</v>
      </c>
      <c r="AL21" s="24"/>
    </row>
    <row r="22" spans="1:38" ht="27" customHeight="1" x14ac:dyDescent="0.25">
      <c r="A22" s="25" t="s">
        <v>59</v>
      </c>
      <c r="B22" s="26">
        <v>2.81</v>
      </c>
      <c r="C22" s="27">
        <f>[1]Datos!I$13*B22%</f>
        <v>27440437.252410002</v>
      </c>
      <c r="D22" s="28">
        <f t="shared" si="0"/>
        <v>2.0656621003724496</v>
      </c>
      <c r="E22" s="32">
        <v>22412</v>
      </c>
      <c r="F22" s="30">
        <f t="shared" si="1"/>
        <v>2.0656621003724496</v>
      </c>
      <c r="G22" s="30">
        <f t="shared" si="2"/>
        <v>1.2393972602234697</v>
      </c>
      <c r="H22" s="31">
        <f>[1]Datos!$K$18*Consolidado!G22/100</f>
        <v>3464410.8961218046</v>
      </c>
      <c r="I22" s="28">
        <v>1.099386</v>
      </c>
      <c r="J22" s="28">
        <f t="shared" si="3"/>
        <v>5.1407695194965264</v>
      </c>
      <c r="K22" s="28">
        <f t="shared" si="4"/>
        <v>1.5422308558489579</v>
      </c>
      <c r="L22" s="32">
        <f>[1]Datos!$K$18*Consolidado!K22/100</f>
        <v>4310903.0113355508</v>
      </c>
      <c r="M22" s="33">
        <f t="shared" si="5"/>
        <v>7775313.9074573554</v>
      </c>
      <c r="N22" s="28">
        <f t="shared" si="6"/>
        <v>2.7816281160724277</v>
      </c>
      <c r="O22" s="28">
        <f t="shared" si="7"/>
        <v>0.35950168687968576</v>
      </c>
      <c r="P22" s="28">
        <f t="shared" si="8"/>
        <v>5.6409933198848687</v>
      </c>
      <c r="Q22" s="28">
        <f t="shared" si="9"/>
        <v>0.56409933198848694</v>
      </c>
      <c r="R22" s="34">
        <f>Q22*[1]Datos!$K$18/100</f>
        <v>1576792.1512780979</v>
      </c>
      <c r="S22" s="856">
        <f>FGP!U22</f>
        <v>3.2386593121117824</v>
      </c>
      <c r="T22" s="857">
        <f>FGP!T22</f>
        <v>58648848.317941383</v>
      </c>
      <c r="U22" s="858">
        <f>FFM!S22</f>
        <v>1.2600388063078003</v>
      </c>
      <c r="V22" s="859">
        <f>FFM!N22</f>
        <v>0</v>
      </c>
      <c r="W22" s="860">
        <f>FFM!Q22</f>
        <v>13676024.610263927</v>
      </c>
      <c r="X22" s="861">
        <f>FOFIR!I21</f>
        <v>5.0263404502668231E-2</v>
      </c>
      <c r="Y22" s="860">
        <f>FOFIR!K21</f>
        <v>1029059.8645245925</v>
      </c>
      <c r="Z22" s="861">
        <f>'IEPS TyA'!E22</f>
        <v>0.05</v>
      </c>
      <c r="AA22" s="860">
        <f>'IEPS TyA'!G22</f>
        <v>1809054.0225000002</v>
      </c>
      <c r="AB22" s="861">
        <f>'IEPS GyD '!D22</f>
        <v>2.0163405252797348</v>
      </c>
      <c r="AC22" s="860">
        <f>'IEPS GyD '!E22</f>
        <v>1471827.9242065887</v>
      </c>
      <c r="AD22" s="868">
        <f>FGP!F22+FGP!L22+FGP!R22</f>
        <v>3.2386593121117819</v>
      </c>
      <c r="AE22" s="863">
        <f>'Incentivo ISAN'!I21</f>
        <v>495955.87570464949</v>
      </c>
      <c r="AF22" s="864">
        <f>FGP!F22+FGP!L22+FGP!R22</f>
        <v>3.2386593121117819</v>
      </c>
      <c r="AG22" s="865">
        <f>'FOCO ISAN'!I21</f>
        <v>96402.50632701756</v>
      </c>
      <c r="AH22" s="866">
        <f>'ISR 2024'!B18</f>
        <v>2.5308095439924752</v>
      </c>
      <c r="AI22" s="869">
        <f>'ISR 2024'!O18</f>
        <v>6671125.3765931539</v>
      </c>
      <c r="AJ22" s="864">
        <f>'ISR Enaje'!T22</f>
        <v>3.2386593121117819</v>
      </c>
      <c r="AK22" s="865">
        <f>'ISR Enaje'!S22</f>
        <v>1133530.7592391237</v>
      </c>
      <c r="AL22" s="24"/>
    </row>
    <row r="23" spans="1:38" ht="27" customHeight="1" x14ac:dyDescent="0.25">
      <c r="A23" s="25" t="s">
        <v>60</v>
      </c>
      <c r="B23" s="26">
        <v>8.34</v>
      </c>
      <c r="C23" s="27">
        <f>[1]Datos!I$13*B23%</f>
        <v>81442436.542740002</v>
      </c>
      <c r="D23" s="28">
        <f t="shared" si="0"/>
        <v>8.5784148817626882</v>
      </c>
      <c r="E23" s="32">
        <v>93074</v>
      </c>
      <c r="F23" s="30">
        <f t="shared" si="1"/>
        <v>8.5784148817626882</v>
      </c>
      <c r="G23" s="30">
        <f t="shared" si="2"/>
        <v>5.1470489290576129</v>
      </c>
      <c r="H23" s="31">
        <f>[1]Datos!$K$18*Consolidado!G23/100</f>
        <v>14387229.15159918</v>
      </c>
      <c r="I23" s="28">
        <v>0.94212600000000002</v>
      </c>
      <c r="J23" s="28">
        <f t="shared" si="3"/>
        <v>4.4054159542919269</v>
      </c>
      <c r="K23" s="28">
        <f t="shared" si="4"/>
        <v>1.3216247862875781</v>
      </c>
      <c r="L23" s="32">
        <f>[1]Datos!$K$18*Consolidado!K23/100</f>
        <v>3694256.4399196613</v>
      </c>
      <c r="M23" s="33">
        <f t="shared" si="5"/>
        <v>18081485.591518842</v>
      </c>
      <c r="N23" s="28">
        <f t="shared" si="6"/>
        <v>6.468673715345191</v>
      </c>
      <c r="O23" s="28">
        <f t="shared" si="7"/>
        <v>0.1545911950432387</v>
      </c>
      <c r="P23" s="28">
        <f t="shared" si="8"/>
        <v>2.4257129531739197</v>
      </c>
      <c r="Q23" s="28">
        <f t="shared" si="9"/>
        <v>0.24257129531739197</v>
      </c>
      <c r="R23" s="34">
        <f>Q23*[1]Datos!$K$18/100</f>
        <v>678044.61535797687</v>
      </c>
      <c r="S23" s="856">
        <f>FGP!U23</f>
        <v>6.5756833314824163</v>
      </c>
      <c r="T23" s="857">
        <f>FGP!T23</f>
        <v>144807121.94765645</v>
      </c>
      <c r="U23" s="858">
        <f>FFM!S23</f>
        <v>5.2510913664161727</v>
      </c>
      <c r="V23" s="859">
        <f>FFM!N23</f>
        <v>75.198321313765291</v>
      </c>
      <c r="W23" s="860">
        <f>FFM!Q23</f>
        <v>81384235.773514509</v>
      </c>
      <c r="X23" s="861">
        <f>FOFIR!I22</f>
        <v>1.0898695760003418</v>
      </c>
      <c r="Y23" s="860">
        <f>FOFIR!K22</f>
        <v>4435670.208966895</v>
      </c>
      <c r="Z23" s="861">
        <f>'IEPS TyA'!E23</f>
        <v>0.05</v>
      </c>
      <c r="AA23" s="860">
        <f>'IEPS TyA'!G23</f>
        <v>1112436.0225000002</v>
      </c>
      <c r="AB23" s="861">
        <f>'IEPS GyD '!D23</f>
        <v>7.6069888365105687</v>
      </c>
      <c r="AC23" s="860">
        <f>'IEPS GyD '!E23</f>
        <v>5552722.0964577664</v>
      </c>
      <c r="AD23" s="868">
        <f>FGP!F23+FGP!L23+FGP!R23</f>
        <v>6.5756833314824163</v>
      </c>
      <c r="AE23" s="863">
        <f>'Incentivo ISAN'!I22</f>
        <v>1006974.9457207702</v>
      </c>
      <c r="AF23" s="864">
        <f>FGP!F23+FGP!L23+FGP!R23</f>
        <v>6.5756833314824163</v>
      </c>
      <c r="AG23" s="865">
        <f>'FOCO ISAN'!I22</f>
        <v>195732.95394085534</v>
      </c>
      <c r="AH23" s="866">
        <f>'ISR 2024'!B19</f>
        <v>5.0074003444058119</v>
      </c>
      <c r="AI23" s="869">
        <f>'ISR 2024'!O19</f>
        <v>13199332.042832784</v>
      </c>
      <c r="AJ23" s="864">
        <f>'ISR Enaje'!T23</f>
        <v>6.5756833314824163</v>
      </c>
      <c r="AK23" s="865">
        <f>'ISR Enaje'!S23</f>
        <v>2301489.166018846</v>
      </c>
      <c r="AL23" s="24"/>
    </row>
    <row r="24" spans="1:38" ht="27" customHeight="1" x14ac:dyDescent="0.25">
      <c r="A24" s="25" t="s">
        <v>61</v>
      </c>
      <c r="B24" s="26">
        <v>3.5</v>
      </c>
      <c r="C24" s="27">
        <f>[1]Datos!I$13*B24%</f>
        <v>34178480.563500002</v>
      </c>
      <c r="D24" s="28">
        <f t="shared" si="0"/>
        <v>3.6642183857936419</v>
      </c>
      <c r="E24" s="32">
        <v>39756</v>
      </c>
      <c r="F24" s="30">
        <f t="shared" si="1"/>
        <v>3.6642183857936419</v>
      </c>
      <c r="G24" s="30">
        <f t="shared" si="2"/>
        <v>2.1985310314761852</v>
      </c>
      <c r="H24" s="31">
        <f>[1]Datos!$K$18*Consolidado!G24/100</f>
        <v>6145418.5073272558</v>
      </c>
      <c r="I24" s="28">
        <v>2.345564</v>
      </c>
      <c r="J24" s="28">
        <f t="shared" si="3"/>
        <v>10.967943849774647</v>
      </c>
      <c r="K24" s="28">
        <f t="shared" si="4"/>
        <v>3.2903831549323939</v>
      </c>
      <c r="L24" s="32">
        <f>[1]Datos!$K$18*Consolidado!K24/100</f>
        <v>9197405.5617228691</v>
      </c>
      <c r="M24" s="33">
        <f t="shared" si="5"/>
        <v>15342824.069050126</v>
      </c>
      <c r="N24" s="28">
        <f t="shared" si="6"/>
        <v>5.4889141864085786</v>
      </c>
      <c r="O24" s="28">
        <f t="shared" si="7"/>
        <v>0.18218539515085852</v>
      </c>
      <c r="P24" s="28">
        <f t="shared" si="8"/>
        <v>2.8586975653622453</v>
      </c>
      <c r="Q24" s="28">
        <f t="shared" si="9"/>
        <v>0.28586975653622454</v>
      </c>
      <c r="R24" s="34">
        <f>Q24*[1]Datos!$K$18/100</f>
        <v>799074.13966464216</v>
      </c>
      <c r="S24" s="856">
        <f>FGP!U24</f>
        <v>4.4717731363038817</v>
      </c>
      <c r="T24" s="857">
        <f>FGP!T24</f>
        <v>77269439.130109265</v>
      </c>
      <c r="U24" s="858">
        <f>FFM!S24</f>
        <v>2.0914932262593346</v>
      </c>
      <c r="V24" s="859">
        <f>FFM!N24</f>
        <v>0</v>
      </c>
      <c r="W24" s="860">
        <f>FFM!Q24</f>
        <v>17665406.970417731</v>
      </c>
      <c r="X24" s="861">
        <f>FOFIR!I23</f>
        <v>0.17510378888016548</v>
      </c>
      <c r="Y24" s="860">
        <f>FOFIR!K23</f>
        <v>1811689.4078393914</v>
      </c>
      <c r="Z24" s="861">
        <f>'IEPS TyA'!E24</f>
        <v>0.05</v>
      </c>
      <c r="AA24" s="860">
        <f>'IEPS TyA'!G24</f>
        <v>1602954.0225000002</v>
      </c>
      <c r="AB24" s="861">
        <f>'IEPS GyD '!D24</f>
        <v>3.0057727673021133</v>
      </c>
      <c r="AC24" s="860">
        <f>'IEPS GyD '!E24</f>
        <v>2194064.0666938964</v>
      </c>
      <c r="AD24" s="868">
        <f>FGP!F24+FGP!L24+FGP!R24</f>
        <v>4.4717731363038817</v>
      </c>
      <c r="AE24" s="863">
        <f>'Incentivo ISAN'!I23</f>
        <v>684790.20114097488</v>
      </c>
      <c r="AF24" s="864">
        <f>FGP!F24+FGP!L24+FGP!R24</f>
        <v>4.4717731363038817</v>
      </c>
      <c r="AG24" s="865">
        <f>'FOCO ISAN'!I23</f>
        <v>133107.59067906649</v>
      </c>
      <c r="AH24" s="866">
        <f>'ISR 2024'!B20</f>
        <v>1.2732955991361015</v>
      </c>
      <c r="AI24" s="869">
        <f>'ISR 2024'!O20</f>
        <v>3356362.6324488395</v>
      </c>
      <c r="AJ24" s="864">
        <f>'ISR Enaje'!T24</f>
        <v>4.4717731363038817</v>
      </c>
      <c r="AK24" s="865">
        <f>'ISR Enaje'!S24</f>
        <v>1565120.5977063586</v>
      </c>
      <c r="AL24" s="24"/>
    </row>
    <row r="25" spans="1:38" ht="27" customHeight="1" x14ac:dyDescent="0.25">
      <c r="A25" s="25" t="s">
        <v>62</v>
      </c>
      <c r="B25" s="26">
        <v>39</v>
      </c>
      <c r="C25" s="27">
        <f>[1]Datos!I$13*B25%</f>
        <v>380845926.27900004</v>
      </c>
      <c r="D25" s="28">
        <f t="shared" si="0"/>
        <v>35.046669106037996</v>
      </c>
      <c r="E25" s="32">
        <v>380249</v>
      </c>
      <c r="F25" s="30">
        <f t="shared" si="1"/>
        <v>35.046669106037996</v>
      </c>
      <c r="G25" s="30">
        <f t="shared" si="2"/>
        <v>21.028001463622797</v>
      </c>
      <c r="H25" s="31">
        <f>[1]Datos!$K$18*Consolidado!G25/100</f>
        <v>58778278.548965737</v>
      </c>
      <c r="I25" s="28">
        <v>0.84406499999999995</v>
      </c>
      <c r="J25" s="28">
        <f t="shared" si="3"/>
        <v>3.9468790984002302</v>
      </c>
      <c r="K25" s="28">
        <f t="shared" si="4"/>
        <v>1.1840637295200691</v>
      </c>
      <c r="L25" s="32">
        <f>[1]Datos!$K$18*Consolidado!K25/100</f>
        <v>3309740.482653901</v>
      </c>
      <c r="M25" s="33">
        <f t="shared" si="5"/>
        <v>62088019.031619638</v>
      </c>
      <c r="N25" s="28">
        <f t="shared" si="6"/>
        <v>22.212065193142866</v>
      </c>
      <c r="O25" s="28">
        <f t="shared" si="7"/>
        <v>4.5020577389116981E-2</v>
      </c>
      <c r="P25" s="28">
        <f t="shared" si="8"/>
        <v>0.7064244357617202</v>
      </c>
      <c r="Q25" s="28">
        <f t="shared" si="9"/>
        <v>7.0642443576172026E-2</v>
      </c>
      <c r="R25" s="34">
        <f>Q25*[1]Datos!$K$18/100</f>
        <v>197462.47559869001</v>
      </c>
      <c r="S25" s="856">
        <f>FGP!U25</f>
        <v>22.5211599449758</v>
      </c>
      <c r="T25" s="857">
        <f>FGP!T25</f>
        <v>597864621.20838082</v>
      </c>
      <c r="U25" s="858">
        <f>FFM!S25</f>
        <v>36.624744728617202</v>
      </c>
      <c r="V25" s="859">
        <f>FFM!N25</f>
        <v>0</v>
      </c>
      <c r="W25" s="860">
        <f>FFM!Q25</f>
        <v>212947809.34158719</v>
      </c>
      <c r="X25" s="861">
        <f>FOFIR!I24</f>
        <v>66.150711606261012</v>
      </c>
      <c r="Y25" s="860">
        <f>FOFIR!K24</f>
        <v>47260365.505300537</v>
      </c>
      <c r="Z25" s="861">
        <f>'IEPS TyA'!E25</f>
        <v>0.05</v>
      </c>
      <c r="AA25" s="860">
        <f>'IEPS TyA'!G25</f>
        <v>838323.0225000002</v>
      </c>
      <c r="AB25" s="861">
        <f>'IEPS GyD '!D25</f>
        <v>34.475044032324909</v>
      </c>
      <c r="AC25" s="860">
        <f>'IEPS GyD '!E25</f>
        <v>25165061.089067765</v>
      </c>
      <c r="AD25" s="868">
        <f>FGP!F25+FGP!L25+FGP!R25</f>
        <v>22.5211599449758</v>
      </c>
      <c r="AE25" s="863">
        <f>'Incentivo ISAN'!I24</f>
        <v>3448804.1272583953</v>
      </c>
      <c r="AF25" s="864">
        <f>FGP!F25+FGP!L25+FGP!R25</f>
        <v>22.5211599449758</v>
      </c>
      <c r="AG25" s="865">
        <f>'FOCO ISAN'!I24</f>
        <v>670368.83316746005</v>
      </c>
      <c r="AH25" s="866">
        <f>'ISR 2024'!B21</f>
        <v>24.738795484343044</v>
      </c>
      <c r="AI25" s="869">
        <f>'ISR 2024'!O21</f>
        <v>65210599.009199753</v>
      </c>
      <c r="AJ25" s="864">
        <f>'ISR Enaje'!T25</f>
        <v>22.5211599449758</v>
      </c>
      <c r="AK25" s="865">
        <f>'ISR Enaje'!S25</f>
        <v>7882405.9807415297</v>
      </c>
      <c r="AL25" s="24"/>
    </row>
    <row r="26" spans="1:38" ht="27" customHeight="1" x14ac:dyDescent="0.25">
      <c r="A26" s="25" t="s">
        <v>63</v>
      </c>
      <c r="B26" s="26">
        <v>3.79</v>
      </c>
      <c r="C26" s="27">
        <f>[1]Datos!I$13*B26%</f>
        <v>37010411.810190007</v>
      </c>
      <c r="D26" s="28">
        <f t="shared" si="0"/>
        <v>2.7677955057194654</v>
      </c>
      <c r="E26" s="32">
        <v>30030</v>
      </c>
      <c r="F26" s="30">
        <f t="shared" si="1"/>
        <v>2.7677955057194654</v>
      </c>
      <c r="G26" s="30">
        <f t="shared" si="2"/>
        <v>1.6606773034316793</v>
      </c>
      <c r="H26" s="31">
        <f>[1]Datos!$K$18*Consolidado!G26/100</f>
        <v>4641989.0777502144</v>
      </c>
      <c r="I26" s="28">
        <v>0.97075900000000004</v>
      </c>
      <c r="J26" s="28">
        <f t="shared" si="3"/>
        <v>4.5393049192703279</v>
      </c>
      <c r="K26" s="28">
        <f t="shared" si="4"/>
        <v>1.3617914757810983</v>
      </c>
      <c r="L26" s="32">
        <f>[1]Datos!$K$18*Consolidado!K26/100</f>
        <v>3806531.9154337854</v>
      </c>
      <c r="M26" s="33">
        <f t="shared" si="5"/>
        <v>8448520.9931840003</v>
      </c>
      <c r="N26" s="28">
        <f t="shared" si="6"/>
        <v>3.0224687792127778</v>
      </c>
      <c r="O26" s="28">
        <f t="shared" si="7"/>
        <v>0.33085536131177395</v>
      </c>
      <c r="P26" s="28">
        <f t="shared" si="8"/>
        <v>5.1914996538873615</v>
      </c>
      <c r="Q26" s="28">
        <f t="shared" si="9"/>
        <v>0.51914996538873615</v>
      </c>
      <c r="R26" s="34">
        <f>Q26*[1]Datos!$K$18/100</f>
        <v>1451147.9527473762</v>
      </c>
      <c r="S26" s="856">
        <f>FGP!U26</f>
        <v>3.17466433183007</v>
      </c>
      <c r="T26" s="857">
        <f>FGP!T26</f>
        <v>67602153.612828165</v>
      </c>
      <c r="U26" s="858">
        <f>FFM!S26</f>
        <v>1.3333011314457046</v>
      </c>
      <c r="V26" s="859">
        <f>FFM!N26</f>
        <v>4.4984924873802328</v>
      </c>
      <c r="W26" s="860">
        <f>FFM!Q26</f>
        <v>20333909.466380306</v>
      </c>
      <c r="X26" s="861">
        <f>FOFIR!I25</f>
        <v>2.8078504416068892E-2</v>
      </c>
      <c r="Y26" s="860">
        <f>FOFIR!K25</f>
        <v>1335818.8873905402</v>
      </c>
      <c r="Z26" s="861">
        <f>'IEPS TyA'!E26</f>
        <v>0.05</v>
      </c>
      <c r="AA26" s="860">
        <f>'IEPS TyA'!G26</f>
        <v>1539063.0225000002</v>
      </c>
      <c r="AB26" s="861">
        <f>'IEPS GyD '!D26</f>
        <v>2.4334334852880231</v>
      </c>
      <c r="AC26" s="860">
        <f>'IEPS GyD '!E26</f>
        <v>1776284.963002163</v>
      </c>
      <c r="AD26" s="868">
        <f>FGP!F26+FGP!L26+FGP!R26</f>
        <v>3.17466433183007</v>
      </c>
      <c r="AE26" s="863">
        <f>'Incentivo ISAN'!I25</f>
        <v>486155.92966907134</v>
      </c>
      <c r="AF26" s="864">
        <f>FGP!F26+FGP!L26+FGP!R26</f>
        <v>3.17466433183007</v>
      </c>
      <c r="AG26" s="865">
        <f>'FOCO ISAN'!I25</f>
        <v>94497.620416840611</v>
      </c>
      <c r="AH26" s="866">
        <f>'ISR 2024'!B22</f>
        <v>4.5033536015344415</v>
      </c>
      <c r="AI26" s="869">
        <f>'ISR 2024'!O22</f>
        <v>11870682.470864709</v>
      </c>
      <c r="AJ26" s="864">
        <f>'ISR Enaje'!T26</f>
        <v>3.17466433183007</v>
      </c>
      <c r="AK26" s="865">
        <f>'ISR Enaje'!S26</f>
        <v>1111132.5161405248</v>
      </c>
      <c r="AL26" s="24"/>
    </row>
    <row r="27" spans="1:38" ht="27" customHeight="1" thickBot="1" x14ac:dyDescent="0.3">
      <c r="A27" s="35" t="s">
        <v>64</v>
      </c>
      <c r="B27" s="36">
        <v>3.1</v>
      </c>
      <c r="C27" s="37">
        <f>[1]Datos!I$13*B27%</f>
        <v>30272368.4991</v>
      </c>
      <c r="D27" s="38">
        <f t="shared" si="0"/>
        <v>4.5256175465147246</v>
      </c>
      <c r="E27" s="39">
        <v>49102</v>
      </c>
      <c r="F27" s="40">
        <f t="shared" si="1"/>
        <v>4.5256175465147246</v>
      </c>
      <c r="G27" s="40">
        <f t="shared" si="2"/>
        <v>2.7153705279088345</v>
      </c>
      <c r="H27" s="41">
        <f>[1]Datos!$K$18*Consolidado!G27/100</f>
        <v>7590108.1483746581</v>
      </c>
      <c r="I27" s="38">
        <v>1.0003390000000001</v>
      </c>
      <c r="J27" s="38">
        <f t="shared" si="3"/>
        <v>4.6776220912069428</v>
      </c>
      <c r="K27" s="38">
        <f t="shared" si="4"/>
        <v>1.4032866273620828</v>
      </c>
      <c r="L27" s="39">
        <f>[1]Datos!$K$18*Consolidado!K27/100</f>
        <v>3922520.7592750802</v>
      </c>
      <c r="M27" s="42">
        <f t="shared" si="5"/>
        <v>11512628.907649739</v>
      </c>
      <c r="N27" s="38">
        <f t="shared" si="6"/>
        <v>4.1186571552709168</v>
      </c>
      <c r="O27" s="38">
        <f t="shared" si="7"/>
        <v>0.24279758239168661</v>
      </c>
      <c r="P27" s="38">
        <f t="shared" si="8"/>
        <v>3.80977222177561</v>
      </c>
      <c r="Q27" s="38">
        <f t="shared" si="9"/>
        <v>0.38097722217756103</v>
      </c>
      <c r="R27" s="43">
        <f>Q27*[1]Datos!$K$18/100</f>
        <v>1064922.1860053025</v>
      </c>
      <c r="S27" s="856">
        <f>FGP!U27</f>
        <v>4.8315287297240372</v>
      </c>
      <c r="T27" s="857">
        <f>FGP!T27</f>
        <v>76830008.602909774</v>
      </c>
      <c r="U27" s="858">
        <f>FFM!S27</f>
        <v>4.9532421656962047</v>
      </c>
      <c r="V27" s="859">
        <f>FFM!N27</f>
        <v>0</v>
      </c>
      <c r="W27" s="860">
        <f>FFM!Q27</f>
        <v>19395665.027174052</v>
      </c>
      <c r="X27" s="870">
        <f>FOFIR!I26</f>
        <v>1.2088488634069492</v>
      </c>
      <c r="Y27" s="871">
        <f>FOFIR!K26</f>
        <v>2570724.2239865046</v>
      </c>
      <c r="Z27" s="870">
        <f>'IEPS TyA'!E27</f>
        <v>0.05</v>
      </c>
      <c r="AA27" s="860">
        <f>'IEPS TyA'!G27</f>
        <v>1710126.0225000002</v>
      </c>
      <c r="AB27" s="870">
        <f>'IEPS GyD '!D27</f>
        <v>5.2797509583506006</v>
      </c>
      <c r="AC27" s="860">
        <f>'IEPS GyD '!E27</f>
        <v>3853954.6251885337</v>
      </c>
      <c r="AD27" s="872">
        <f>FGP!F27+FGP!L27+FGP!R27</f>
        <v>4.8315287297240372</v>
      </c>
      <c r="AE27" s="863">
        <f>'Incentivo ISAN'!I26</f>
        <v>739881.79404396459</v>
      </c>
      <c r="AF27" s="864">
        <f>FGP!F27+FGP!L27+FGP!R27</f>
        <v>4.8315287297240372</v>
      </c>
      <c r="AG27" s="865">
        <f>'FOCO ISAN'!I26</f>
        <v>143816.13934955085</v>
      </c>
      <c r="AH27" s="866">
        <f>'ISR 2024'!B23</f>
        <v>6.5535433400157315</v>
      </c>
      <c r="AI27" s="873">
        <f>'ISR 2024'!O23</f>
        <v>17274910.862400316</v>
      </c>
      <c r="AJ27" s="864">
        <f>'ISR Enaje'!T27</f>
        <v>4.8315287297240372</v>
      </c>
      <c r="AK27" s="865">
        <f>'ISR Enaje'!S27</f>
        <v>1691035.055403413</v>
      </c>
      <c r="AL27" s="24"/>
    </row>
    <row r="28" spans="1:38" ht="15.75" thickBot="1" x14ac:dyDescent="0.3">
      <c r="A28" s="44" t="s">
        <v>65</v>
      </c>
      <c r="B28" s="45">
        <f>SUM(B8:B27)</f>
        <v>100</v>
      </c>
      <c r="C28" s="46">
        <f>SUM(C8:C27)</f>
        <v>976528016.0999999</v>
      </c>
      <c r="D28" s="47">
        <f>SUM(D8:D27)</f>
        <v>99.999999999999986</v>
      </c>
      <c r="E28" s="48">
        <f>SUM(E8:E27)</f>
        <v>1084979</v>
      </c>
      <c r="F28" s="49">
        <f t="shared" si="1"/>
        <v>99.999999999999986</v>
      </c>
      <c r="G28" s="49">
        <f t="shared" ref="G28:L28" si="10">SUM(G8:G27)</f>
        <v>59.999999999999993</v>
      </c>
      <c r="H28" s="50">
        <f t="shared" si="10"/>
        <v>167714307.94499996</v>
      </c>
      <c r="I28" s="51">
        <f t="shared" si="10"/>
        <v>21.385630999999997</v>
      </c>
      <c r="J28" s="52">
        <f t="shared" si="10"/>
        <v>100.00000000000001</v>
      </c>
      <c r="K28" s="52">
        <f t="shared" si="10"/>
        <v>29.999999999999996</v>
      </c>
      <c r="L28" s="53">
        <f t="shared" si="10"/>
        <v>83857153.972500011</v>
      </c>
      <c r="M28" s="54">
        <f t="shared" si="5"/>
        <v>251571461.91749996</v>
      </c>
      <c r="N28" s="52">
        <f t="shared" ref="N28:T28" si="11">SUM(N8:N27)</f>
        <v>90</v>
      </c>
      <c r="O28" s="52">
        <f t="shared" si="11"/>
        <v>6.3730209644535289</v>
      </c>
      <c r="P28" s="52">
        <f t="shared" si="11"/>
        <v>100</v>
      </c>
      <c r="Q28" s="51">
        <f t="shared" si="11"/>
        <v>10.000000000000002</v>
      </c>
      <c r="R28" s="55">
        <f t="shared" si="11"/>
        <v>27952384.657499999</v>
      </c>
      <c r="S28" s="874">
        <f>SUM(S8:S27)</f>
        <v>100</v>
      </c>
      <c r="T28" s="875">
        <f t="shared" si="11"/>
        <v>1940149319.1750004</v>
      </c>
      <c r="U28" s="876">
        <v>100</v>
      </c>
      <c r="V28" s="877">
        <v>100</v>
      </c>
      <c r="W28" s="878">
        <f>SUM(W8:W27)</f>
        <v>605202694</v>
      </c>
      <c r="X28" s="879">
        <v>100</v>
      </c>
      <c r="Y28" s="878">
        <f t="shared" ref="Y28:AC28" si="12">SUM(Y8:Y27)</f>
        <v>91920881.474999994</v>
      </c>
      <c r="Z28" s="879">
        <v>100</v>
      </c>
      <c r="AA28" s="878">
        <f>SUM(AA8:AA27)+5</f>
        <v>35851325.45000001</v>
      </c>
      <c r="AB28" s="879">
        <v>99.999999999999986</v>
      </c>
      <c r="AC28" s="878">
        <f t="shared" si="12"/>
        <v>72995007.825000003</v>
      </c>
      <c r="AD28" s="879">
        <f>SUM(AD8:AD27)</f>
        <v>100</v>
      </c>
      <c r="AE28" s="878">
        <f>SUM(AE8:AE27)</f>
        <v>15313616.775</v>
      </c>
      <c r="AF28" s="880">
        <f>SUM(AF8:AF27)</f>
        <v>100</v>
      </c>
      <c r="AG28" s="881">
        <f>SUM(AG8:AG27)</f>
        <v>2976617.6999999997</v>
      </c>
      <c r="AH28" s="882">
        <f t="shared" ref="AH28" si="13">SUM(AH8:AH27)</f>
        <v>100.00000000000001</v>
      </c>
      <c r="AI28" s="881">
        <f>SUM(AI8:AI27)</f>
        <v>263596499.88000003</v>
      </c>
      <c r="AJ28" s="880">
        <f>SUM(AJ8:AJ27)</f>
        <v>100</v>
      </c>
      <c r="AK28" s="881">
        <f>SUM(AK8:AK27)</f>
        <v>35000000</v>
      </c>
    </row>
    <row r="29" spans="1:38" x14ac:dyDescent="0.25">
      <c r="A29" s="8"/>
      <c r="B29" s="56"/>
      <c r="C29" s="8"/>
      <c r="D29" s="8"/>
      <c r="E29" s="8"/>
      <c r="F29" s="8"/>
      <c r="G29" s="8"/>
      <c r="H29" s="57"/>
    </row>
    <row r="30" spans="1:38" x14ac:dyDescent="0.25">
      <c r="A30" s="8"/>
      <c r="B30" s="8"/>
      <c r="C30" s="8"/>
      <c r="D30" s="8"/>
      <c r="E30" s="8"/>
      <c r="F30" s="8"/>
      <c r="G30" s="8"/>
      <c r="H30" s="57"/>
      <c r="T30" s="58"/>
      <c r="U30" s="58"/>
      <c r="V30" s="58"/>
    </row>
    <row r="33" spans="24:28" x14ac:dyDescent="0.25">
      <c r="X33" t="s">
        <v>325</v>
      </c>
      <c r="AA33" s="181"/>
      <c r="AB33" s="181"/>
    </row>
    <row r="34" spans="24:28" x14ac:dyDescent="0.25">
      <c r="AA34" s="181"/>
      <c r="AB34" s="181"/>
    </row>
    <row r="35" spans="24:28" x14ac:dyDescent="0.25">
      <c r="AA35" s="181"/>
      <c r="AB35" s="181"/>
    </row>
    <row r="36" spans="24:28" x14ac:dyDescent="0.25">
      <c r="AA36" s="181"/>
      <c r="AB36" s="181"/>
    </row>
    <row r="37" spans="24:28" x14ac:dyDescent="0.25">
      <c r="AA37" s="181"/>
      <c r="AB37" s="181"/>
    </row>
    <row r="38" spans="24:28" x14ac:dyDescent="0.25">
      <c r="AA38" s="181"/>
      <c r="AB38" s="181"/>
    </row>
    <row r="39" spans="24:28" x14ac:dyDescent="0.25">
      <c r="AA39" s="181"/>
      <c r="AB39" s="181"/>
    </row>
    <row r="40" spans="24:28" x14ac:dyDescent="0.25">
      <c r="AA40" s="181"/>
      <c r="AB40" s="181"/>
    </row>
    <row r="41" spans="24:28" x14ac:dyDescent="0.25">
      <c r="AA41" s="181"/>
      <c r="AB41" s="181"/>
    </row>
    <row r="42" spans="24:28" x14ac:dyDescent="0.25">
      <c r="AA42" s="181"/>
      <c r="AB42" s="181"/>
    </row>
    <row r="43" spans="24:28" x14ac:dyDescent="0.25">
      <c r="AA43" s="181"/>
      <c r="AB43" s="181"/>
    </row>
    <row r="44" spans="24:28" x14ac:dyDescent="0.25">
      <c r="AA44" s="181"/>
      <c r="AB44" s="181"/>
    </row>
    <row r="45" spans="24:28" x14ac:dyDescent="0.25">
      <c r="AA45" s="181"/>
      <c r="AB45" s="181"/>
    </row>
    <row r="46" spans="24:28" x14ac:dyDescent="0.25">
      <c r="AA46" s="181"/>
      <c r="AB46" s="181"/>
    </row>
    <row r="47" spans="24:28" x14ac:dyDescent="0.25">
      <c r="AA47" s="181"/>
      <c r="AB47" s="181"/>
    </row>
    <row r="48" spans="24:28" x14ac:dyDescent="0.25">
      <c r="AA48" s="181"/>
      <c r="AB48" s="181"/>
    </row>
    <row r="49" spans="27:28" x14ac:dyDescent="0.25">
      <c r="AA49" s="181"/>
      <c r="AB49" s="181"/>
    </row>
    <row r="50" spans="27:28" x14ac:dyDescent="0.25">
      <c r="AA50" s="181"/>
      <c r="AB50" s="181"/>
    </row>
    <row r="51" spans="27:28" x14ac:dyDescent="0.25">
      <c r="AA51" s="181"/>
      <c r="AB51" s="181"/>
    </row>
    <row r="52" spans="27:28" x14ac:dyDescent="0.25">
      <c r="AA52" s="181"/>
      <c r="AB52" s="181"/>
    </row>
    <row r="53" spans="27:28" x14ac:dyDescent="0.25">
      <c r="AA53" s="181"/>
      <c r="AB53" s="181"/>
    </row>
    <row r="54" spans="27:28" x14ac:dyDescent="0.25">
      <c r="AA54" s="181"/>
    </row>
    <row r="55" spans="27:28" x14ac:dyDescent="0.25">
      <c r="AA55" s="181"/>
    </row>
    <row r="56" spans="27:28" x14ac:dyDescent="0.25">
      <c r="AA56" s="181"/>
    </row>
    <row r="57" spans="27:28" x14ac:dyDescent="0.25">
      <c r="AA57" s="181"/>
    </row>
    <row r="58" spans="27:28" x14ac:dyDescent="0.25">
      <c r="AA58" s="181"/>
    </row>
    <row r="59" spans="27:28" x14ac:dyDescent="0.25">
      <c r="AA59" s="181"/>
    </row>
    <row r="60" spans="27:28" x14ac:dyDescent="0.25">
      <c r="AA60" s="181"/>
    </row>
    <row r="61" spans="27:28" x14ac:dyDescent="0.25">
      <c r="AA61" s="181"/>
    </row>
    <row r="62" spans="27:28" x14ac:dyDescent="0.25">
      <c r="AA62" s="181"/>
    </row>
    <row r="63" spans="27:28" x14ac:dyDescent="0.25">
      <c r="AA63" s="181"/>
    </row>
    <row r="64" spans="27:28" x14ac:dyDescent="0.25">
      <c r="AA64" s="181"/>
    </row>
    <row r="65" spans="27:27" x14ac:dyDescent="0.25">
      <c r="AA65" s="181"/>
    </row>
    <row r="66" spans="27:27" x14ac:dyDescent="0.25">
      <c r="AA66" s="181"/>
    </row>
    <row r="67" spans="27:27" x14ac:dyDescent="0.25">
      <c r="AA67" s="181"/>
    </row>
    <row r="68" spans="27:27" x14ac:dyDescent="0.25">
      <c r="AA68" s="181"/>
    </row>
    <row r="69" spans="27:27" x14ac:dyDescent="0.25">
      <c r="AA69" s="181"/>
    </row>
    <row r="70" spans="27:27" x14ac:dyDescent="0.25">
      <c r="AA70" s="181"/>
    </row>
    <row r="71" spans="27:27" x14ac:dyDescent="0.25">
      <c r="AA71" s="181"/>
    </row>
    <row r="72" spans="27:27" x14ac:dyDescent="0.25">
      <c r="AA72" s="181"/>
    </row>
    <row r="73" spans="27:27" x14ac:dyDescent="0.25">
      <c r="AA73" s="181"/>
    </row>
    <row r="74" spans="27:27" x14ac:dyDescent="0.25">
      <c r="AA74" s="181"/>
    </row>
    <row r="75" spans="27:27" x14ac:dyDescent="0.25">
      <c r="AA75" s="181"/>
    </row>
    <row r="76" spans="27:27" x14ac:dyDescent="0.25">
      <c r="AA76" s="181"/>
    </row>
    <row r="77" spans="27:27" x14ac:dyDescent="0.25">
      <c r="AA77" s="181"/>
    </row>
    <row r="78" spans="27:27" x14ac:dyDescent="0.25">
      <c r="AA78" s="181"/>
    </row>
    <row r="79" spans="27:27" x14ac:dyDescent="0.25">
      <c r="AA79" s="181"/>
    </row>
    <row r="80" spans="27:27" x14ac:dyDescent="0.25">
      <c r="AA80" s="181"/>
    </row>
    <row r="81" spans="27:27" x14ac:dyDescent="0.25">
      <c r="AA81" s="181"/>
    </row>
    <row r="82" spans="27:27" x14ac:dyDescent="0.25">
      <c r="AA82" s="181"/>
    </row>
    <row r="83" spans="27:27" x14ac:dyDescent="0.25">
      <c r="AA83" s="181"/>
    </row>
    <row r="84" spans="27:27" x14ac:dyDescent="0.25">
      <c r="AA84" s="181"/>
    </row>
    <row r="85" spans="27:27" x14ac:dyDescent="0.25">
      <c r="AA85" s="181"/>
    </row>
    <row r="86" spans="27:27" x14ac:dyDescent="0.25">
      <c r="AA86" s="181"/>
    </row>
  </sheetData>
  <mergeCells count="42">
    <mergeCell ref="A1:AK1"/>
    <mergeCell ref="AF3:AG3"/>
    <mergeCell ref="B4:B6"/>
    <mergeCell ref="E4:H4"/>
    <mergeCell ref="I4:L4"/>
    <mergeCell ref="M4:M7"/>
    <mergeCell ref="AA4:AA6"/>
    <mergeCell ref="AC4:AC6"/>
    <mergeCell ref="AG4:AG6"/>
    <mergeCell ref="D5:E5"/>
    <mergeCell ref="I5:I6"/>
    <mergeCell ref="J5:J6"/>
    <mergeCell ref="L5:L6"/>
    <mergeCell ref="N5:N7"/>
    <mergeCell ref="D6:E6"/>
    <mergeCell ref="N4:R4"/>
    <mergeCell ref="AJ3:AK3"/>
    <mergeCell ref="AJ4:AJ7"/>
    <mergeCell ref="AK4:AK6"/>
    <mergeCell ref="X4:X7"/>
    <mergeCell ref="Z4:Z7"/>
    <mergeCell ref="AB4:AB7"/>
    <mergeCell ref="AD4:AD7"/>
    <mergeCell ref="AF4:AF7"/>
    <mergeCell ref="AD3:AE3"/>
    <mergeCell ref="AE4:AE6"/>
    <mergeCell ref="AH3:AI3"/>
    <mergeCell ref="AH4:AH7"/>
    <mergeCell ref="AI4:AI6"/>
    <mergeCell ref="Z3:AA3"/>
    <mergeCell ref="AB3:AC3"/>
    <mergeCell ref="A2:T2"/>
    <mergeCell ref="A3:A7"/>
    <mergeCell ref="S3:T3"/>
    <mergeCell ref="U3:W3"/>
    <mergeCell ref="X3:Y3"/>
    <mergeCell ref="W4:W6"/>
    <mergeCell ref="Y4:Y6"/>
    <mergeCell ref="S4:S7"/>
    <mergeCell ref="U4:U7"/>
    <mergeCell ref="T4:T6"/>
    <mergeCell ref="V4:V7"/>
  </mergeCells>
  <pageMargins left="0.64" right="0.15748031496062992" top="0.74803149606299213" bottom="0.74803149606299213" header="0.31496062992125984" footer="0.31496062992125984"/>
  <pageSetup paperSize="5" scale="6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O35"/>
  <sheetViews>
    <sheetView workbookViewId="0">
      <selection sqref="A1:O1"/>
    </sheetView>
  </sheetViews>
  <sheetFormatPr baseColWidth="10" defaultRowHeight="12.75" x14ac:dyDescent="0.2"/>
  <cols>
    <col min="1" max="1" width="16.85546875" style="552" customWidth="1"/>
    <col min="2" max="2" width="9.28515625" style="552" hidden="1" customWidth="1"/>
    <col min="3" max="10" width="9.7109375" style="552" customWidth="1"/>
    <col min="11" max="11" width="11.7109375" style="552" customWidth="1"/>
    <col min="12" max="15" width="9.7109375" style="552" customWidth="1"/>
    <col min="16" max="16384" width="11.42578125" style="552"/>
  </cols>
  <sheetData>
    <row r="1" spans="1:15" x14ac:dyDescent="0.2">
      <c r="A1" s="1215" t="s">
        <v>491</v>
      </c>
      <c r="B1" s="1215"/>
      <c r="C1" s="1215"/>
      <c r="D1" s="1215"/>
      <c r="E1" s="1215"/>
      <c r="F1" s="1215"/>
      <c r="G1" s="1215"/>
      <c r="H1" s="1215"/>
      <c r="I1" s="1215"/>
      <c r="J1" s="1215"/>
      <c r="K1" s="1215"/>
      <c r="L1" s="1215"/>
      <c r="M1" s="1215"/>
      <c r="N1" s="1215"/>
      <c r="O1" s="1215"/>
    </row>
    <row r="2" spans="1:15" ht="13.5" thickBot="1" x14ac:dyDescent="0.25"/>
    <row r="3" spans="1:15" ht="34.5" thickBot="1" x14ac:dyDescent="0.25">
      <c r="A3" s="847" t="s">
        <v>307</v>
      </c>
      <c r="B3" s="851" t="s">
        <v>273</v>
      </c>
      <c r="C3" s="847" t="s">
        <v>1</v>
      </c>
      <c r="D3" s="849" t="s">
        <v>2</v>
      </c>
      <c r="E3" s="847" t="s">
        <v>3</v>
      </c>
      <c r="F3" s="849" t="s">
        <v>4</v>
      </c>
      <c r="G3" s="847" t="s">
        <v>5</v>
      </c>
      <c r="H3" s="847" t="s">
        <v>6</v>
      </c>
      <c r="I3" s="847" t="s">
        <v>7</v>
      </c>
      <c r="J3" s="849" t="s">
        <v>8</v>
      </c>
      <c r="K3" s="847" t="s">
        <v>9</v>
      </c>
      <c r="L3" s="849" t="s">
        <v>10</v>
      </c>
      <c r="M3" s="847" t="s">
        <v>11</v>
      </c>
      <c r="N3" s="847" t="s">
        <v>12</v>
      </c>
      <c r="O3" s="850" t="s">
        <v>165</v>
      </c>
    </row>
    <row r="4" spans="1:15" x14ac:dyDescent="0.2">
      <c r="A4" s="557" t="s">
        <v>274</v>
      </c>
      <c r="B4" s="568"/>
      <c r="C4" s="559">
        <f>'IEPS INCREMENTO'!C7+'IEPS ESTIMACIONES'!C7</f>
        <v>110584.29803474162</v>
      </c>
      <c r="D4" s="559">
        <f>'IEPS INCREMENTO'!D7+'IEPS ESTIMACIONES'!D7</f>
        <v>264411.23414339364</v>
      </c>
      <c r="E4" s="559">
        <f>'IEPS INCREMENTO'!E7+'IEPS ESTIMACIONES'!E7</f>
        <v>103463.46170533236</v>
      </c>
      <c r="F4" s="559">
        <f>'IEPS INCREMENTO'!F7+'IEPS ESTIMACIONES'!F7</f>
        <v>97914.642316832163</v>
      </c>
      <c r="G4" s="559">
        <f>'IEPS INCREMENTO'!G7+'IEPS ESTIMACIONES'!G7</f>
        <v>110865.9384297119</v>
      </c>
      <c r="H4" s="559">
        <f>'IEPS INCREMENTO'!H7+'IEPS ESTIMACIONES'!H7</f>
        <v>114823.43205214679</v>
      </c>
      <c r="I4" s="559">
        <f>'IEPS INCREMENTO'!I7+'IEPS ESTIMACIONES'!I7</f>
        <v>118494.13105623901</v>
      </c>
      <c r="J4" s="559">
        <f>'IEPS INCREMENTO'!J7+'IEPS ESTIMACIONES'!J7</f>
        <v>132555.29095783169</v>
      </c>
      <c r="K4" s="559">
        <f>'IEPS INCREMENTO'!K7+'IEPS ESTIMACIONES'!K7</f>
        <v>133497.37378291419</v>
      </c>
      <c r="L4" s="559">
        <f>'IEPS INCREMENTO'!L7+'IEPS ESTIMACIONES'!L7</f>
        <v>132226.62830220713</v>
      </c>
      <c r="M4" s="559">
        <f>'IEPS INCREMENTO'!M7+'IEPS ESTIMACIONES'!M7</f>
        <v>127777.31956537277</v>
      </c>
      <c r="N4" s="559">
        <f>'IEPS INCREMENTO'!N7+'IEPS ESTIMACIONES'!N7</f>
        <v>127486.27215327676</v>
      </c>
      <c r="O4" s="560">
        <f>SUM(C4:N4)</f>
        <v>1574100.0225</v>
      </c>
    </row>
    <row r="5" spans="1:15" x14ac:dyDescent="0.2">
      <c r="A5" s="557" t="s">
        <v>144</v>
      </c>
      <c r="B5" s="569"/>
      <c r="C5" s="559">
        <f>'IEPS INCREMENTO'!C8+'IEPS ESTIMACIONES'!C8</f>
        <v>137186.56361594485</v>
      </c>
      <c r="D5" s="559">
        <f>'IEPS INCREMENTO'!D8+'IEPS ESTIMACIONES'!D8</f>
        <v>304997.10289448395</v>
      </c>
      <c r="E5" s="559">
        <f>'IEPS INCREMENTO'!E8+'IEPS ESTIMACIONES'!E8</f>
        <v>131365.26214135921</v>
      </c>
      <c r="F5" s="559">
        <f>'IEPS INCREMENTO'!F8+'IEPS ESTIMACIONES'!F8</f>
        <v>129609.33480459524</v>
      </c>
      <c r="G5" s="559">
        <f>'IEPS INCREMENTO'!G8+'IEPS ESTIMACIONES'!G8</f>
        <v>141062.84294794785</v>
      </c>
      <c r="H5" s="559">
        <f>'IEPS INCREMENTO'!H8+'IEPS ESTIMACIONES'!H8</f>
        <v>146392.95726351463</v>
      </c>
      <c r="I5" s="559">
        <f>'IEPS INCREMENTO'!I8+'IEPS ESTIMACIONES'!I8</f>
        <v>150575.77903408828</v>
      </c>
      <c r="J5" s="559">
        <f>'IEPS INCREMENTO'!J8+'IEPS ESTIMACIONES'!J8</f>
        <v>165838.38099329369</v>
      </c>
      <c r="K5" s="559">
        <f>'IEPS INCREMENTO'!K8+'IEPS ESTIMACIONES'!K8</f>
        <v>165697.05910313863</v>
      </c>
      <c r="L5" s="559">
        <f>'IEPS INCREMENTO'!L8+'IEPS ESTIMACIONES'!L8</f>
        <v>163698.73115497967</v>
      </c>
      <c r="M5" s="559">
        <f>'IEPS INCREMENTO'!M8+'IEPS ESTIMACIONES'!M8</f>
        <v>158534.47390472569</v>
      </c>
      <c r="N5" s="559">
        <f>'IEPS INCREMENTO'!N8+'IEPS ESTIMACIONES'!N8</f>
        <v>158365.53464192845</v>
      </c>
      <c r="O5" s="560">
        <f t="shared" ref="O5:O23" si="0">SUM(C5:N5)</f>
        <v>1953324.0225</v>
      </c>
    </row>
    <row r="6" spans="1:15" x14ac:dyDescent="0.2">
      <c r="A6" s="557" t="s">
        <v>145</v>
      </c>
      <c r="B6" s="569"/>
      <c r="C6" s="559">
        <f>'IEPS INCREMENTO'!C9+'IEPS ESTIMACIONES'!C9</f>
        <v>142102.19964725414</v>
      </c>
      <c r="D6" s="559">
        <f>'IEPS INCREMENTO'!D9+'IEPS ESTIMACIONES'!D9</f>
        <v>312496.66559848969</v>
      </c>
      <c r="E6" s="559">
        <f>'IEPS INCREMENTO'!E9+'IEPS ESTIMACIONES'!E9</f>
        <v>136521.02961323372</v>
      </c>
      <c r="F6" s="559">
        <f>'IEPS INCREMENTO'!F9+'IEPS ESTIMACIONES'!F9</f>
        <v>135465.9627642906</v>
      </c>
      <c r="G6" s="559">
        <f>'IEPS INCREMENTO'!G9+'IEPS ESTIMACIONES'!G9</f>
        <v>146642.705739361</v>
      </c>
      <c r="H6" s="559">
        <f>'IEPS INCREMENTO'!H9+'IEPS ESTIMACIONES'!H9</f>
        <v>152226.45648735436</v>
      </c>
      <c r="I6" s="559">
        <f>'IEPS INCREMENTO'!I9+'IEPS ESTIMACIONES'!I9</f>
        <v>156503.90963869085</v>
      </c>
      <c r="J6" s="559">
        <f>'IEPS INCREMENTO'!J9+'IEPS ESTIMACIONES'!J9</f>
        <v>171988.51719549863</v>
      </c>
      <c r="K6" s="559">
        <f>'IEPS INCREMENTO'!K9+'IEPS ESTIMACIONES'!K9</f>
        <v>171647.00095578877</v>
      </c>
      <c r="L6" s="559">
        <f>'IEPS INCREMENTO'!L9+'IEPS ESTIMACIONES'!L9</f>
        <v>169514.22842125289</v>
      </c>
      <c r="M6" s="559">
        <f>'IEPS INCREMENTO'!M9+'IEPS ESTIMACIONES'!M9</f>
        <v>164217.86111960612</v>
      </c>
      <c r="N6" s="559">
        <f>'IEPS INCREMENTO'!N9+'IEPS ESTIMACIONES'!N9</f>
        <v>164071.48531917931</v>
      </c>
      <c r="O6" s="560">
        <f t="shared" si="0"/>
        <v>2023398.0225</v>
      </c>
    </row>
    <row r="7" spans="1:15" x14ac:dyDescent="0.2">
      <c r="A7" s="557" t="s">
        <v>275</v>
      </c>
      <c r="B7" s="569"/>
      <c r="C7" s="559">
        <f>'IEPS INCREMENTO'!C10+'IEPS ESTIMACIONES'!C10</f>
        <v>127066.13649266101</v>
      </c>
      <c r="D7" s="559">
        <f>'IEPS INCREMENTO'!D10+'IEPS ESTIMACIONES'!D10</f>
        <v>289556.82673917781</v>
      </c>
      <c r="E7" s="559">
        <f>'IEPS INCREMENTO'!E10+'IEPS ESTIMACIONES'!E10</f>
        <v>120750.44675808813</v>
      </c>
      <c r="F7" s="559">
        <f>'IEPS INCREMENTO'!F10+'IEPS ESTIMACIONES'!F10</f>
        <v>117551.57135816364</v>
      </c>
      <c r="G7" s="559">
        <f>'IEPS INCREMENTO'!G10+'IEPS ESTIMACIONES'!G10</f>
        <v>129574.89014209723</v>
      </c>
      <c r="H7" s="559">
        <f>'IEPS INCREMENTO'!H10+'IEPS ESTIMACIONES'!H10</f>
        <v>134382.81180266818</v>
      </c>
      <c r="I7" s="559">
        <f>'IEPS INCREMENTO'!I10+'IEPS ESTIMACIONES'!I10</f>
        <v>138370.80425990649</v>
      </c>
      <c r="J7" s="559">
        <f>'IEPS INCREMENTO'!J10+'IEPS ESTIMACIONES'!J10</f>
        <v>153176.33587110706</v>
      </c>
      <c r="K7" s="559">
        <f>'IEPS INCREMENTO'!K10+'IEPS ESTIMACIONES'!K10</f>
        <v>153447.17881827062</v>
      </c>
      <c r="L7" s="559">
        <f>'IEPS INCREMENTO'!L10+'IEPS ESTIMACIONES'!L10</f>
        <v>151725.64854794665</v>
      </c>
      <c r="M7" s="559">
        <f>'IEPS INCREMENTO'!M10+'IEPS ESTIMACIONES'!M10</f>
        <v>146833.38257997186</v>
      </c>
      <c r="N7" s="559">
        <f>'IEPS INCREMENTO'!N10+'IEPS ESTIMACIONES'!N10</f>
        <v>146617.98912994139</v>
      </c>
      <c r="O7" s="560">
        <f t="shared" si="0"/>
        <v>1809054.0225</v>
      </c>
    </row>
    <row r="8" spans="1:15" x14ac:dyDescent="0.2">
      <c r="A8" s="557" t="s">
        <v>147</v>
      </c>
      <c r="B8" s="569"/>
      <c r="C8" s="559">
        <f>'IEPS INCREMENTO'!C11+'IEPS ESTIMACIONES'!C11</f>
        <v>98006.052895803135</v>
      </c>
      <c r="D8" s="559">
        <f>'IEPS INCREMENTO'!D11+'IEPS ESTIMACIONES'!D11</f>
        <v>245221.17663608465</v>
      </c>
      <c r="E8" s="559">
        <f>'IEPS INCREMENTO'!E11+'IEPS ESTIMACIONES'!E11</f>
        <v>90270.762586124009</v>
      </c>
      <c r="F8" s="559">
        <f>'IEPS INCREMENTO'!F11+'IEPS ESTIMACIONES'!F11</f>
        <v>82928.564890552894</v>
      </c>
      <c r="G8" s="559">
        <f>'IEPS INCREMENTO'!G11+'IEPS ESTIMACIONES'!G11</f>
        <v>96588.05422815468</v>
      </c>
      <c r="H8" s="559">
        <f>'IEPS INCREMENTO'!H11+'IEPS ESTIMACIONES'!H11</f>
        <v>99896.536979380486</v>
      </c>
      <c r="I8" s="559">
        <f>'IEPS INCREMENTO'!I11+'IEPS ESTIMACIONES'!I11</f>
        <v>103325.09097975593</v>
      </c>
      <c r="J8" s="559">
        <f>'IEPS INCREMENTO'!J11+'IEPS ESTIMACIONES'!J11</f>
        <v>116818.17773454261</v>
      </c>
      <c r="K8" s="559">
        <f>'IEPS INCREMENTO'!K11+'IEPS ESTIMACIONES'!K11</f>
        <v>118272.52257172111</v>
      </c>
      <c r="L8" s="559">
        <f>'IEPS INCREMENTO'!L11+'IEPS ESTIMACIONES'!L11</f>
        <v>117345.79706203748</v>
      </c>
      <c r="M8" s="559">
        <f>'IEPS INCREMENTO'!M11+'IEPS ESTIMACIONES'!M11</f>
        <v>113234.53463317873</v>
      </c>
      <c r="N8" s="559">
        <f>'IEPS INCREMENTO'!N11+'IEPS ESTIMACIONES'!N11</f>
        <v>112885.75130266428</v>
      </c>
      <c r="O8" s="560">
        <f t="shared" si="0"/>
        <v>1394793.0225</v>
      </c>
    </row>
    <row r="9" spans="1:15" x14ac:dyDescent="0.2">
      <c r="A9" s="557" t="s">
        <v>276</v>
      </c>
      <c r="B9" s="569"/>
      <c r="C9" s="559">
        <f>'IEPS INCREMENTO'!C12+'IEPS ESTIMACIONES'!C12</f>
        <v>191113.98243001447</v>
      </c>
      <c r="D9" s="559">
        <f>'IEPS INCREMENTO'!D12+'IEPS ESTIMACIONES'!D12</f>
        <v>387271.71726490068</v>
      </c>
      <c r="E9" s="559">
        <f>'IEPS INCREMENTO'!E12+'IEPS ESTIMACIONES'!E12</f>
        <v>187927.06411221801</v>
      </c>
      <c r="F9" s="559">
        <f>'IEPS INCREMENTO'!F12+'IEPS ESTIMACIONES'!F12</f>
        <v>193859.98859772366</v>
      </c>
      <c r="G9" s="559">
        <f>'IEPS INCREMENTO'!G12+'IEPS ESTIMACIONES'!G12</f>
        <v>202277.22004198053</v>
      </c>
      <c r="H9" s="559">
        <f>'IEPS INCREMENTO'!H12+'IEPS ESTIMACIONES'!H12</f>
        <v>210389.87521916794</v>
      </c>
      <c r="I9" s="559">
        <f>'IEPS INCREMENTO'!I12+'IEPS ESTIMACIONES'!I12</f>
        <v>215610.85890222836</v>
      </c>
      <c r="J9" s="559">
        <f>'IEPS INCREMENTO'!J12+'IEPS ESTIMACIONES'!J12</f>
        <v>233308.99285865959</v>
      </c>
      <c r="K9" s="559">
        <f>'IEPS INCREMENTO'!K12+'IEPS ESTIMACIONES'!K12</f>
        <v>230971.42119250662</v>
      </c>
      <c r="L9" s="559">
        <f>'IEPS INCREMENTO'!L12+'IEPS ESTIMACIONES'!L12</f>
        <v>227498.15704674146</v>
      </c>
      <c r="M9" s="559">
        <f>'IEPS INCREMENTO'!M12+'IEPS ESTIMACIONES'!M12</f>
        <v>220884.5748209139</v>
      </c>
      <c r="N9" s="559">
        <f>'IEPS INCREMENTO'!N12+'IEPS ESTIMACIONES'!N12</f>
        <v>220963.17001294519</v>
      </c>
      <c r="O9" s="560">
        <f t="shared" si="0"/>
        <v>2722077.0225000004</v>
      </c>
    </row>
    <row r="10" spans="1:15" x14ac:dyDescent="0.2">
      <c r="A10" s="557" t="s">
        <v>149</v>
      </c>
      <c r="B10" s="569"/>
      <c r="C10" s="559">
        <f>'IEPS INCREMENTO'!C13+'IEPS ESTIMACIONES'!C13</f>
        <v>188511.58688402717</v>
      </c>
      <c r="D10" s="559">
        <f>'IEPS INCREMENTO'!D13+'IEPS ESTIMACIONES'!D13</f>
        <v>383301.36053925048</v>
      </c>
      <c r="E10" s="559">
        <f>'IEPS INCREMENTO'!E13+'IEPS ESTIMACIONES'!E13</f>
        <v>185197.54015651971</v>
      </c>
      <c r="F10" s="559">
        <f>'IEPS INCREMENTO'!F13+'IEPS ESTIMACIONES'!F13</f>
        <v>190759.42085435556</v>
      </c>
      <c r="G10" s="559">
        <f>'IEPS INCREMENTO'!G13+'IEPS ESTIMACIONES'!G13</f>
        <v>199323.17503476178</v>
      </c>
      <c r="H10" s="559">
        <f>'IEPS INCREMENTO'!H13+'IEPS ESTIMACIONES'!H13</f>
        <v>207301.55210066453</v>
      </c>
      <c r="I10" s="559">
        <f>'IEPS INCREMENTO'!I13+'IEPS ESTIMACIONES'!I13</f>
        <v>212472.43681743875</v>
      </c>
      <c r="J10" s="559">
        <f>'IEPS INCREMENTO'!J13+'IEPS ESTIMACIONES'!J13</f>
        <v>230053.03839866872</v>
      </c>
      <c r="K10" s="559">
        <f>'IEPS INCREMENTO'!K13+'IEPS ESTIMACIONES'!K13</f>
        <v>227821.45197639772</v>
      </c>
      <c r="L10" s="559">
        <f>'IEPS INCREMENTO'!L13+'IEPS ESTIMACIONES'!L13</f>
        <v>224419.36437636151</v>
      </c>
      <c r="M10" s="559">
        <f>'IEPS INCREMENTO'!M13+'IEPS ESTIMACIONES'!M13</f>
        <v>217875.7227659772</v>
      </c>
      <c r="N10" s="559">
        <f>'IEPS INCREMENTO'!N13+'IEPS ESTIMACIONES'!N13</f>
        <v>217942.37259557706</v>
      </c>
      <c r="O10" s="560">
        <f t="shared" si="0"/>
        <v>2684979.0225</v>
      </c>
    </row>
    <row r="11" spans="1:15" x14ac:dyDescent="0.2">
      <c r="A11" s="557" t="s">
        <v>150</v>
      </c>
      <c r="B11" s="569"/>
      <c r="C11" s="559">
        <f>'IEPS INCREMENTO'!C14+'IEPS ESTIMACIONES'!C14</f>
        <v>118969.79479403394</v>
      </c>
      <c r="D11" s="559">
        <f>'IEPS INCREMENTO'!D14+'IEPS ESTIMACIONES'!D14</f>
        <v>277204.60581493296</v>
      </c>
      <c r="E11" s="559">
        <f>'IEPS INCREMENTO'!E14+'IEPS ESTIMACIONES'!E14</f>
        <v>112258.59445147126</v>
      </c>
      <c r="F11" s="559">
        <f>'IEPS INCREMENTO'!F14+'IEPS ESTIMACIONES'!F14</f>
        <v>107905.36060101836</v>
      </c>
      <c r="G11" s="559">
        <f>'IEPS INCREMENTO'!G14+'IEPS ESTIMACIONES'!G14</f>
        <v>120384.5278974167</v>
      </c>
      <c r="H11" s="559">
        <f>'IEPS INCREMENTO'!H14+'IEPS ESTIMACIONES'!H14</f>
        <v>124774.695433991</v>
      </c>
      <c r="I11" s="559">
        <f>'IEPS INCREMENTO'!I14+'IEPS ESTIMACIONES'!I14</f>
        <v>128606.82444056106</v>
      </c>
      <c r="J11" s="559">
        <f>'IEPS INCREMENTO'!J14+'IEPS ESTIMACIONES'!J14</f>
        <v>143046.69977335777</v>
      </c>
      <c r="K11" s="559">
        <f>'IEPS INCREMENTO'!K14+'IEPS ESTIMACIONES'!K14</f>
        <v>143647.27459037624</v>
      </c>
      <c r="L11" s="559">
        <f>'IEPS INCREMENTO'!L14+'IEPS ESTIMACIONES'!L14</f>
        <v>142147.1824623202</v>
      </c>
      <c r="M11" s="559">
        <f>'IEPS INCREMENTO'!M14+'IEPS ESTIMACIONES'!M14</f>
        <v>137472.50952016879</v>
      </c>
      <c r="N11" s="559">
        <f>'IEPS INCREMENTO'!N14+'IEPS ESTIMACIONES'!N14</f>
        <v>137219.95272035175</v>
      </c>
      <c r="O11" s="560">
        <f t="shared" si="0"/>
        <v>1693638.0225000002</v>
      </c>
    </row>
    <row r="12" spans="1:15" x14ac:dyDescent="0.2">
      <c r="A12" s="557" t="s">
        <v>151</v>
      </c>
      <c r="B12" s="569"/>
      <c r="C12" s="559">
        <f>'IEPS INCREMENTO'!C15+'IEPS ESTIMACIONES'!C15</f>
        <v>127066.13649266101</v>
      </c>
      <c r="D12" s="559">
        <f>'IEPS INCREMENTO'!D15+'IEPS ESTIMACIONES'!D15</f>
        <v>289556.82673917781</v>
      </c>
      <c r="E12" s="559">
        <f>'IEPS INCREMENTO'!E15+'IEPS ESTIMACIONES'!E15</f>
        <v>120750.44675808813</v>
      </c>
      <c r="F12" s="559">
        <f>'IEPS INCREMENTO'!F15+'IEPS ESTIMACIONES'!F15</f>
        <v>117551.57135816364</v>
      </c>
      <c r="G12" s="559">
        <f>'IEPS INCREMENTO'!G15+'IEPS ESTIMACIONES'!G15</f>
        <v>129574.89014209723</v>
      </c>
      <c r="H12" s="559">
        <f>'IEPS INCREMENTO'!H15+'IEPS ESTIMACIONES'!H15</f>
        <v>134382.81180266818</v>
      </c>
      <c r="I12" s="559">
        <f>'IEPS INCREMENTO'!I15+'IEPS ESTIMACIONES'!I15</f>
        <v>138370.80425990649</v>
      </c>
      <c r="J12" s="559">
        <f>'IEPS INCREMENTO'!J15+'IEPS ESTIMACIONES'!J15</f>
        <v>153176.33587110706</v>
      </c>
      <c r="K12" s="559">
        <f>'IEPS INCREMENTO'!K15+'IEPS ESTIMACIONES'!K15</f>
        <v>153447.17881827062</v>
      </c>
      <c r="L12" s="559">
        <f>'IEPS INCREMENTO'!L15+'IEPS ESTIMACIONES'!L15</f>
        <v>151725.64854794665</v>
      </c>
      <c r="M12" s="559">
        <f>'IEPS INCREMENTO'!M15+'IEPS ESTIMACIONES'!M15</f>
        <v>146833.38257997186</v>
      </c>
      <c r="N12" s="559">
        <f>'IEPS INCREMENTO'!N15+'IEPS ESTIMACIONES'!N15</f>
        <v>146617.98912994139</v>
      </c>
      <c r="O12" s="560">
        <f t="shared" si="0"/>
        <v>1809054.0225</v>
      </c>
    </row>
    <row r="13" spans="1:15" x14ac:dyDescent="0.2">
      <c r="A13" s="557" t="s">
        <v>152</v>
      </c>
      <c r="B13" s="569"/>
      <c r="C13" s="559">
        <f>'IEPS INCREMENTO'!C16+'IEPS ESTIMACIONES'!C16</f>
        <v>182583.90814038951</v>
      </c>
      <c r="D13" s="559">
        <f>'IEPS INCREMENTO'!D16+'IEPS ESTIMACIONES'!D16</f>
        <v>374257.77021971409</v>
      </c>
      <c r="E13" s="559">
        <f>'IEPS INCREMENTO'!E16+'IEPS ESTIMACIONES'!E16</f>
        <v>178980.29114631808</v>
      </c>
      <c r="F13" s="559">
        <f>'IEPS INCREMENTO'!F16+'IEPS ESTIMACIONES'!F16</f>
        <v>183697.01655001706</v>
      </c>
      <c r="G13" s="559">
        <f>'IEPS INCREMENTO'!G16+'IEPS ESTIMACIONES'!G16</f>
        <v>192594.51696276356</v>
      </c>
      <c r="H13" s="559">
        <f>'IEPS INCREMENTO'!H16+'IEPS ESTIMACIONES'!H16</f>
        <v>200267.03833074018</v>
      </c>
      <c r="I13" s="559">
        <f>'IEPS INCREMENTO'!I16+'IEPS ESTIMACIONES'!I16</f>
        <v>205323.80873541799</v>
      </c>
      <c r="J13" s="559">
        <f>'IEPS INCREMENTO'!J16+'IEPS ESTIMACIONES'!J16</f>
        <v>222636.69768424513</v>
      </c>
      <c r="K13" s="559">
        <f>'IEPS INCREMENTO'!K16+'IEPS ESTIMACIONES'!K16</f>
        <v>220646.52209526073</v>
      </c>
      <c r="L13" s="559">
        <f>'IEPS INCREMENTO'!L16+'IEPS ESTIMACIONES'!L16</f>
        <v>217406.55884938504</v>
      </c>
      <c r="M13" s="559">
        <f>'IEPS INCREMENTO'!M16+'IEPS ESTIMACIONES'!M16</f>
        <v>211022.22641862143</v>
      </c>
      <c r="N13" s="559">
        <f>'IEPS INCREMENTO'!N16+'IEPS ESTIMACIONES'!N16</f>
        <v>211061.66736712752</v>
      </c>
      <c r="O13" s="560">
        <f t="shared" si="0"/>
        <v>2600478.0225000004</v>
      </c>
    </row>
    <row r="14" spans="1:15" x14ac:dyDescent="0.2">
      <c r="A14" s="557" t="s">
        <v>153</v>
      </c>
      <c r="B14" s="569"/>
      <c r="C14" s="559">
        <f>'IEPS INCREMENTO'!C17+'IEPS ESTIMACIONES'!C17</f>
        <v>126198.67131066526</v>
      </c>
      <c r="D14" s="559">
        <f>'IEPS INCREMENTO'!D17+'IEPS ESTIMACIONES'!D17</f>
        <v>288233.37449729443</v>
      </c>
      <c r="E14" s="559">
        <f>'IEPS INCREMENTO'!E17+'IEPS ESTIMACIONES'!E17</f>
        <v>119840.60543952204</v>
      </c>
      <c r="F14" s="559">
        <f>'IEPS INCREMENTO'!F17+'IEPS ESTIMACIONES'!F17</f>
        <v>116518.04877704094</v>
      </c>
      <c r="G14" s="559">
        <f>'IEPS INCREMENTO'!G17+'IEPS ESTIMACIONES'!G17</f>
        <v>128590.20847302431</v>
      </c>
      <c r="H14" s="559">
        <f>'IEPS INCREMENTO'!H17+'IEPS ESTIMACIONES'!H17</f>
        <v>133353.37076316704</v>
      </c>
      <c r="I14" s="559">
        <f>'IEPS INCREMENTO'!I17+'IEPS ESTIMACIONES'!I17</f>
        <v>137324.66356497662</v>
      </c>
      <c r="J14" s="559">
        <f>'IEPS INCREMENTO'!J17+'IEPS ESTIMACIONES'!J17</f>
        <v>152091.01771777676</v>
      </c>
      <c r="K14" s="559">
        <f>'IEPS INCREMENTO'!K17+'IEPS ESTIMACIONES'!K17</f>
        <v>152397.18907956767</v>
      </c>
      <c r="L14" s="559">
        <f>'IEPS INCREMENTO'!L17+'IEPS ESTIMACIONES'!L17</f>
        <v>150699.38432448669</v>
      </c>
      <c r="M14" s="559">
        <f>'IEPS INCREMENTO'!M17+'IEPS ESTIMACIONES'!M17</f>
        <v>145830.43189499294</v>
      </c>
      <c r="N14" s="559">
        <f>'IEPS INCREMENTO'!N17+'IEPS ESTIMACIONES'!N17</f>
        <v>145611.05665748537</v>
      </c>
      <c r="O14" s="560">
        <f t="shared" si="0"/>
        <v>1796688.0225</v>
      </c>
    </row>
    <row r="15" spans="1:15" x14ac:dyDescent="0.2">
      <c r="A15" s="557" t="s">
        <v>154</v>
      </c>
      <c r="B15" s="569"/>
      <c r="C15" s="559">
        <f>'IEPS INCREMENTO'!C18+'IEPS ESTIMACIONES'!C18</f>
        <v>115644.51159638354</v>
      </c>
      <c r="D15" s="559">
        <f>'IEPS INCREMENTO'!D18+'IEPS ESTIMACIONES'!D18</f>
        <v>272131.37222104671</v>
      </c>
      <c r="E15" s="559">
        <f>'IEPS INCREMENTO'!E18+'IEPS ESTIMACIONES'!E18</f>
        <v>108770.8693969679</v>
      </c>
      <c r="F15" s="559">
        <f>'IEPS INCREMENTO'!F18+'IEPS ESTIMACIONES'!F18</f>
        <v>103943.52404004798</v>
      </c>
      <c r="G15" s="559">
        <f>'IEPS INCREMENTO'!G18+'IEPS ESTIMACIONES'!G18</f>
        <v>116609.91483263722</v>
      </c>
      <c r="H15" s="559">
        <f>'IEPS INCREMENTO'!H18+'IEPS ESTIMACIONES'!H18</f>
        <v>120828.50478257003</v>
      </c>
      <c r="I15" s="559">
        <f>'IEPS INCREMENTO'!I18+'IEPS ESTIMACIONES'!I18</f>
        <v>124596.61844332991</v>
      </c>
      <c r="J15" s="559">
        <f>'IEPS INCREMENTO'!J18+'IEPS ESTIMACIONES'!J18</f>
        <v>138886.31351892502</v>
      </c>
      <c r="K15" s="559">
        <f>'IEPS INCREMENTO'!K18+'IEPS ESTIMACIONES'!K18</f>
        <v>139622.31392534816</v>
      </c>
      <c r="L15" s="559">
        <f>'IEPS INCREMENTO'!L18+'IEPS ESTIMACIONES'!L18</f>
        <v>138213.16960572364</v>
      </c>
      <c r="M15" s="559">
        <f>'IEPS INCREMENTO'!M18+'IEPS ESTIMACIONES'!M18</f>
        <v>133627.86522774969</v>
      </c>
      <c r="N15" s="559">
        <f>'IEPS INCREMENTO'!N18+'IEPS ESTIMACIONES'!N18</f>
        <v>133360.04490927031</v>
      </c>
      <c r="O15" s="560">
        <f t="shared" si="0"/>
        <v>1646235.0225000002</v>
      </c>
    </row>
    <row r="16" spans="1:15" x14ac:dyDescent="0.2">
      <c r="A16" s="557" t="s">
        <v>155</v>
      </c>
      <c r="B16" s="569"/>
      <c r="C16" s="559">
        <f>'IEPS INCREMENTO'!C19+'IEPS ESTIMACIONES'!C19</f>
        <v>97572.320304805253</v>
      </c>
      <c r="D16" s="559">
        <f>'IEPS INCREMENTO'!D19+'IEPS ESTIMACIONES'!D19</f>
        <v>244559.45051514296</v>
      </c>
      <c r="E16" s="559">
        <f>'IEPS INCREMENTO'!E19+'IEPS ESTIMACIONES'!E19</f>
        <v>89815.841926840963</v>
      </c>
      <c r="F16" s="559">
        <f>'IEPS INCREMENTO'!F19+'IEPS ESTIMACIONES'!F19</f>
        <v>82411.803599991545</v>
      </c>
      <c r="G16" s="559">
        <f>'IEPS INCREMENTO'!G19+'IEPS ESTIMACIONES'!G19</f>
        <v>96095.713393618222</v>
      </c>
      <c r="H16" s="559">
        <f>'IEPS INCREMENTO'!H19+'IEPS ESTIMACIONES'!H19</f>
        <v>99381.816459629918</v>
      </c>
      <c r="I16" s="559">
        <f>'IEPS INCREMENTO'!I19+'IEPS ESTIMACIONES'!I19</f>
        <v>102802.02063229099</v>
      </c>
      <c r="J16" s="559">
        <f>'IEPS INCREMENTO'!J19+'IEPS ESTIMACIONES'!J19</f>
        <v>116275.51865787746</v>
      </c>
      <c r="K16" s="559">
        <f>'IEPS INCREMENTO'!K19+'IEPS ESTIMACIONES'!K19</f>
        <v>117747.52770236963</v>
      </c>
      <c r="L16" s="559">
        <f>'IEPS INCREMENTO'!L19+'IEPS ESTIMACIONES'!L19</f>
        <v>116832.6649503075</v>
      </c>
      <c r="M16" s="559">
        <f>'IEPS INCREMENTO'!M19+'IEPS ESTIMACIONES'!M19</f>
        <v>112733.05929068929</v>
      </c>
      <c r="N16" s="559">
        <f>'IEPS INCREMENTO'!N19+'IEPS ESTIMACIONES'!N19</f>
        <v>112382.28506643628</v>
      </c>
      <c r="O16" s="560">
        <f t="shared" si="0"/>
        <v>1388610.0225</v>
      </c>
    </row>
    <row r="17" spans="1:15" x14ac:dyDescent="0.2">
      <c r="A17" s="557" t="s">
        <v>277</v>
      </c>
      <c r="B17" s="569"/>
      <c r="C17" s="559">
        <f>'IEPS INCREMENTO'!C20+'IEPS ESTIMACIONES'!C20</f>
        <v>150487.69640654646</v>
      </c>
      <c r="D17" s="559">
        <f>'IEPS INCREMENTO'!D20+'IEPS ESTIMACIONES'!D20</f>
        <v>325290.03727002908</v>
      </c>
      <c r="E17" s="559">
        <f>'IEPS INCREMENTO'!E20+'IEPS ESTIMACIONES'!E20</f>
        <v>145316.16235937265</v>
      </c>
      <c r="F17" s="559">
        <f>'IEPS INCREMENTO'!F20+'IEPS ESTIMACIONES'!F20</f>
        <v>145456.68104847681</v>
      </c>
      <c r="G17" s="559">
        <f>'IEPS INCREMENTO'!G20+'IEPS ESTIMACIONES'!G20</f>
        <v>156161.29520706582</v>
      </c>
      <c r="H17" s="559">
        <f>'IEPS INCREMENTO'!H20+'IEPS ESTIMACIONES'!H20</f>
        <v>162177.71986919857</v>
      </c>
      <c r="I17" s="559">
        <f>'IEPS INCREMENTO'!I20+'IEPS ESTIMACIONES'!I20</f>
        <v>166616.60302301293</v>
      </c>
      <c r="J17" s="559">
        <f>'IEPS INCREMENTO'!J20+'IEPS ESTIMACIONES'!J20</f>
        <v>182479.92601102468</v>
      </c>
      <c r="K17" s="559">
        <f>'IEPS INCREMENTO'!K20+'IEPS ESTIMACIONES'!K20</f>
        <v>181796.90176325085</v>
      </c>
      <c r="L17" s="559">
        <f>'IEPS INCREMENTO'!L20+'IEPS ESTIMACIONES'!L20</f>
        <v>179434.78258136599</v>
      </c>
      <c r="M17" s="559">
        <f>'IEPS INCREMENTO'!M20+'IEPS ESTIMACIONES'!M20</f>
        <v>173913.05107440214</v>
      </c>
      <c r="N17" s="559">
        <f>'IEPS INCREMENTO'!N20+'IEPS ESTIMACIONES'!N20</f>
        <v>173805.16588625428</v>
      </c>
      <c r="O17" s="560">
        <f t="shared" si="0"/>
        <v>2142936.0225</v>
      </c>
    </row>
    <row r="18" spans="1:15" x14ac:dyDescent="0.2">
      <c r="A18" s="557" t="s">
        <v>278</v>
      </c>
      <c r="B18" s="569"/>
      <c r="C18" s="559">
        <f>'IEPS INCREMENTO'!C21+'IEPS ESTIMACIONES'!C21</f>
        <v>127066.13649266101</v>
      </c>
      <c r="D18" s="559">
        <f>'IEPS INCREMENTO'!D21+'IEPS ESTIMACIONES'!D21</f>
        <v>289556.82673917781</v>
      </c>
      <c r="E18" s="559">
        <f>'IEPS INCREMENTO'!E21+'IEPS ESTIMACIONES'!E21</f>
        <v>120750.44675808813</v>
      </c>
      <c r="F18" s="559">
        <f>'IEPS INCREMENTO'!F21+'IEPS ESTIMACIONES'!F21</f>
        <v>117551.57135816364</v>
      </c>
      <c r="G18" s="559">
        <f>'IEPS INCREMENTO'!G21+'IEPS ESTIMACIONES'!G21</f>
        <v>129574.89014209723</v>
      </c>
      <c r="H18" s="559">
        <f>'IEPS INCREMENTO'!H21+'IEPS ESTIMACIONES'!H21</f>
        <v>134382.81180266818</v>
      </c>
      <c r="I18" s="559">
        <f>'IEPS INCREMENTO'!I21+'IEPS ESTIMACIONES'!I21</f>
        <v>138370.80425990649</v>
      </c>
      <c r="J18" s="559">
        <f>'IEPS INCREMENTO'!J21+'IEPS ESTIMACIONES'!J21</f>
        <v>153176.33587110706</v>
      </c>
      <c r="K18" s="559">
        <f>'IEPS INCREMENTO'!K21+'IEPS ESTIMACIONES'!K21</f>
        <v>153447.17881827062</v>
      </c>
      <c r="L18" s="559">
        <f>'IEPS INCREMENTO'!L21+'IEPS ESTIMACIONES'!L21</f>
        <v>151725.64854794665</v>
      </c>
      <c r="M18" s="559">
        <f>'IEPS INCREMENTO'!M21+'IEPS ESTIMACIONES'!M21</f>
        <v>146833.38257997186</v>
      </c>
      <c r="N18" s="559">
        <f>'IEPS INCREMENTO'!N21+'IEPS ESTIMACIONES'!N21</f>
        <v>146617.98912994139</v>
      </c>
      <c r="O18" s="560">
        <f t="shared" si="0"/>
        <v>1809054.0225</v>
      </c>
    </row>
    <row r="19" spans="1:15" x14ac:dyDescent="0.2">
      <c r="A19" s="557" t="s">
        <v>279</v>
      </c>
      <c r="B19" s="569"/>
      <c r="C19" s="559">
        <f>'IEPS INCREMENTO'!C22+'IEPS ESTIMACIONES'!C22</f>
        <v>78198.931240233331</v>
      </c>
      <c r="D19" s="559">
        <f>'IEPS INCREMENTO'!D22+'IEPS ESTIMACIONES'!D22</f>
        <v>215002.35044641417</v>
      </c>
      <c r="E19" s="559">
        <f>'IEPS INCREMENTO'!E22+'IEPS ESTIMACIONES'!E22</f>
        <v>69496.052478864891</v>
      </c>
      <c r="F19" s="559">
        <f>'IEPS INCREMENTO'!F22+'IEPS ESTIMACIONES'!F22</f>
        <v>59329.799288251037</v>
      </c>
      <c r="G19" s="559">
        <f>'IEPS INCREMENTO'!G22+'IEPS ESTIMACIONES'!G22</f>
        <v>74104.489450989873</v>
      </c>
      <c r="H19" s="559">
        <f>'IEPS INCREMENTO'!H22+'IEPS ESTIMACIONES'!H22</f>
        <v>76390.966577438128</v>
      </c>
      <c r="I19" s="559">
        <f>'IEPS INCREMENTO'!I22+'IEPS ESTIMACIONES'!I22</f>
        <v>79438.21177885728</v>
      </c>
      <c r="J19" s="559">
        <f>'IEPS INCREMENTO'!J22+'IEPS ESTIMACIONES'!J22</f>
        <v>92036.746566834496</v>
      </c>
      <c r="K19" s="559">
        <f>'IEPS INCREMENTO'!K22+'IEPS ESTIMACIONES'!K22</f>
        <v>94297.75687133662</v>
      </c>
      <c r="L19" s="559">
        <f>'IEPS INCREMENTO'!L22+'IEPS ESTIMACIONES'!L22</f>
        <v>93912.763959701406</v>
      </c>
      <c r="M19" s="559">
        <f>'IEPS INCREMENTO'!M22+'IEPS ESTIMACIONES'!M22</f>
        <v>90333.827326160535</v>
      </c>
      <c r="N19" s="559">
        <f>'IEPS INCREMENTO'!N22+'IEPS ESTIMACIONES'!N22</f>
        <v>89894.1265149182</v>
      </c>
      <c r="O19" s="560">
        <f t="shared" si="0"/>
        <v>1112436.0225</v>
      </c>
    </row>
    <row r="20" spans="1:15" x14ac:dyDescent="0.2">
      <c r="A20" s="557" t="s">
        <v>159</v>
      </c>
      <c r="B20" s="569"/>
      <c r="C20" s="559">
        <f>'IEPS INCREMENTO'!C23+'IEPS ESTIMACIONES'!C23</f>
        <v>112608.38345939839</v>
      </c>
      <c r="D20" s="559">
        <f>'IEPS INCREMENTO'!D23+'IEPS ESTIMACIONES'!D23</f>
        <v>267499.28937445488</v>
      </c>
      <c r="E20" s="559">
        <f>'IEPS INCREMENTO'!E23+'IEPS ESTIMACIONES'!E23</f>
        <v>105586.42478198659</v>
      </c>
      <c r="F20" s="559">
        <f>'IEPS INCREMENTO'!F23+'IEPS ESTIMACIONES'!F23</f>
        <v>100326.19500611851</v>
      </c>
      <c r="G20" s="559">
        <f>'IEPS INCREMENTO'!G23+'IEPS ESTIMACIONES'!G23</f>
        <v>113163.52899088203</v>
      </c>
      <c r="H20" s="559">
        <f>'IEPS INCREMENTO'!H23+'IEPS ESTIMACIONES'!H23</f>
        <v>117225.4611443161</v>
      </c>
      <c r="I20" s="559">
        <f>'IEPS INCREMENTO'!I23+'IEPS ESTIMACIONES'!I23</f>
        <v>120935.12601107536</v>
      </c>
      <c r="J20" s="559">
        <f>'IEPS INCREMENTO'!J23+'IEPS ESTIMACIONES'!J23</f>
        <v>135087.69998226903</v>
      </c>
      <c r="K20" s="559">
        <f>'IEPS INCREMENTO'!K23+'IEPS ESTIMACIONES'!K23</f>
        <v>135947.34983988779</v>
      </c>
      <c r="L20" s="559">
        <f>'IEPS INCREMENTO'!L23+'IEPS ESTIMACIONES'!L23</f>
        <v>134621.24482361373</v>
      </c>
      <c r="M20" s="559">
        <f>'IEPS INCREMENTO'!M23+'IEPS ESTIMACIONES'!M23</f>
        <v>130117.53783032355</v>
      </c>
      <c r="N20" s="559">
        <f>'IEPS INCREMENTO'!N23+'IEPS ESTIMACIONES'!N23</f>
        <v>129835.78125567418</v>
      </c>
      <c r="O20" s="560">
        <f t="shared" si="0"/>
        <v>1602954.0224999997</v>
      </c>
    </row>
    <row r="21" spans="1:15" x14ac:dyDescent="0.2">
      <c r="A21" s="557" t="s">
        <v>160</v>
      </c>
      <c r="B21" s="569"/>
      <c r="C21" s="559">
        <f>'IEPS INCREMENTO'!C24+'IEPS ESTIMACIONES'!C24</f>
        <v>58970.119705994031</v>
      </c>
      <c r="D21" s="559">
        <f>'IEPS INCREMENTO'!D24+'IEPS ESTIMACIONES'!D24</f>
        <v>185665.8257513326</v>
      </c>
      <c r="E21" s="559">
        <f>'IEPS INCREMENTO'!E24+'IEPS ESTIMACIONES'!E24</f>
        <v>49327.903250649826</v>
      </c>
      <c r="F21" s="559">
        <f>'IEPS INCREMENTO'!F24+'IEPS ESTIMACIONES'!F24</f>
        <v>36420.048740030979</v>
      </c>
      <c r="G21" s="559">
        <f>'IEPS INCREMENTO'!G24+'IEPS ESTIMACIONES'!G24</f>
        <v>52277.379119873658</v>
      </c>
      <c r="H21" s="559">
        <f>'IEPS INCREMENTO'!H24+'IEPS ESTIMACIONES'!H24</f>
        <v>53571.69020182985</v>
      </c>
      <c r="I21" s="559">
        <f>'IEPS INCREMENTO'!I24+'IEPS ESTIMACIONES'!I24</f>
        <v>56248.759707911886</v>
      </c>
      <c r="J21" s="559">
        <f>'IEPS INCREMENTO'!J24+'IEPS ESTIMACIONES'!J24</f>
        <v>67978.860834679901</v>
      </c>
      <c r="K21" s="559">
        <f>'IEPS INCREMENTO'!K24+'IEPS ESTIMACIONES'!K24</f>
        <v>71022.984330087435</v>
      </c>
      <c r="L21" s="559">
        <f>'IEPS INCREMENTO'!L24+'IEPS ESTIMACIONES'!L24</f>
        <v>71163.907006338617</v>
      </c>
      <c r="M21" s="559">
        <f>'IEPS INCREMENTO'!M24+'IEPS ESTIMACIONES'!M24</f>
        <v>68101.753809128277</v>
      </c>
      <c r="N21" s="559">
        <f>'IEPS INCREMENTO'!N24+'IEPS ESTIMACIONES'!N24</f>
        <v>67573.790042142791</v>
      </c>
      <c r="O21" s="560">
        <f t="shared" si="0"/>
        <v>838323.02249999973</v>
      </c>
    </row>
    <row r="22" spans="1:15" x14ac:dyDescent="0.2">
      <c r="A22" s="557" t="s">
        <v>161</v>
      </c>
      <c r="B22" s="569"/>
      <c r="C22" s="559">
        <f>'IEPS INCREMENTO'!C25+'IEPS ESTIMACIONES'!C25</f>
        <v>108126.48001908697</v>
      </c>
      <c r="D22" s="559">
        <f>'IEPS INCREMENTO'!D25+'IEPS ESTIMACIONES'!D25</f>
        <v>260661.45279139071</v>
      </c>
      <c r="E22" s="559">
        <f>'IEPS INCREMENTO'!E25+'IEPS ESTIMACIONES'!E25</f>
        <v>100885.57796939509</v>
      </c>
      <c r="F22" s="559">
        <f>'IEPS INCREMENTO'!F25+'IEPS ESTIMACIONES'!F25</f>
        <v>94986.328336984501</v>
      </c>
      <c r="G22" s="559">
        <f>'IEPS INCREMENTO'!G25+'IEPS ESTIMACIONES'!G25</f>
        <v>108076.00703400531</v>
      </c>
      <c r="H22" s="559">
        <f>'IEPS INCREMENTO'!H25+'IEPS ESTIMACIONES'!H25</f>
        <v>111906.68244022694</v>
      </c>
      <c r="I22" s="559">
        <f>'IEPS INCREMENTO'!I25+'IEPS ESTIMACIONES'!I25</f>
        <v>115530.0657539377</v>
      </c>
      <c r="J22" s="559">
        <f>'IEPS INCREMENTO'!J25+'IEPS ESTIMACIONES'!J25</f>
        <v>129480.22285672922</v>
      </c>
      <c r="K22" s="559">
        <f>'IEPS INCREMENTO'!K25+'IEPS ESTIMACIONES'!K25</f>
        <v>130522.40285658909</v>
      </c>
      <c r="L22" s="559">
        <f>'IEPS INCREMENTO'!L25+'IEPS ESTIMACIONES'!L25</f>
        <v>129318.87966907053</v>
      </c>
      <c r="M22" s="559">
        <f>'IEPS INCREMENTO'!M25+'IEPS ESTIMACIONES'!M25</f>
        <v>124935.62595793256</v>
      </c>
      <c r="N22" s="559">
        <f>'IEPS INCREMENTO'!N25+'IEPS ESTIMACIONES'!N25</f>
        <v>124633.29681465134</v>
      </c>
      <c r="O22" s="560">
        <f t="shared" si="0"/>
        <v>1539063.0225</v>
      </c>
    </row>
    <row r="23" spans="1:15" ht="13.5" thickBot="1" x14ac:dyDescent="0.25">
      <c r="A23" s="557" t="s">
        <v>162</v>
      </c>
      <c r="B23" s="570"/>
      <c r="C23" s="559">
        <f>'IEPS INCREMENTO'!C26+'IEPS ESTIMACIONES'!C26</f>
        <v>120126.41503669495</v>
      </c>
      <c r="D23" s="559">
        <f>'IEPS INCREMENTO'!D26+'IEPS ESTIMACIONES'!D26</f>
        <v>278969.20880411082</v>
      </c>
      <c r="E23" s="559">
        <f>'IEPS INCREMENTO'!E26+'IEPS ESTIMACIONES'!E26</f>
        <v>113471.71620955938</v>
      </c>
      <c r="F23" s="559">
        <f>'IEPS INCREMENTO'!F26+'IEPS ESTIMACIONES'!F26</f>
        <v>109283.39070918197</v>
      </c>
      <c r="G23" s="559">
        <f>'IEPS INCREMENTO'!G26+'IEPS ESTIMACIONES'!G26</f>
        <v>121697.43678951393</v>
      </c>
      <c r="H23" s="559">
        <f>'IEPS INCREMENTO'!H26+'IEPS ESTIMACIONES'!H26</f>
        <v>126147.28348665917</v>
      </c>
      <c r="I23" s="559">
        <f>'IEPS INCREMENTO'!I26+'IEPS ESTIMACIONES'!I26</f>
        <v>130001.67870046754</v>
      </c>
      <c r="J23" s="559">
        <f>'IEPS INCREMENTO'!J26+'IEPS ESTIMACIONES'!J26</f>
        <v>144493.79064446478</v>
      </c>
      <c r="K23" s="559">
        <f>'IEPS INCREMENTO'!K26+'IEPS ESTIMACIONES'!K26</f>
        <v>145047.26090864686</v>
      </c>
      <c r="L23" s="559">
        <f>'IEPS INCREMENTO'!L26+'IEPS ESTIMACIONES'!L26</f>
        <v>143515.53476026686</v>
      </c>
      <c r="M23" s="559">
        <f>'IEPS INCREMENTO'!M26+'IEPS ESTIMACIONES'!M26</f>
        <v>138809.77710014067</v>
      </c>
      <c r="N23" s="559">
        <f>'IEPS INCREMENTO'!N26+'IEPS ESTIMACIONES'!N26</f>
        <v>138562.52935029313</v>
      </c>
      <c r="O23" s="560">
        <f t="shared" si="0"/>
        <v>1710126.0225</v>
      </c>
    </row>
    <row r="24" spans="1:15" ht="13.5" thickBot="1" x14ac:dyDescent="0.25">
      <c r="A24" s="562" t="s">
        <v>280</v>
      </c>
      <c r="B24" s="563">
        <f>SUM(B4:B23)</f>
        <v>0</v>
      </c>
      <c r="C24" s="564">
        <f>SUM(C4:C23)</f>
        <v>2518190.3250000002</v>
      </c>
      <c r="D24" s="564">
        <f t="shared" ref="D24:O24" si="1">SUM(D4:D23)</f>
        <v>5755844.4750000006</v>
      </c>
      <c r="E24" s="564">
        <f t="shared" si="1"/>
        <v>2390746.5000000005</v>
      </c>
      <c r="F24" s="564">
        <f t="shared" si="1"/>
        <v>2323470.8250000007</v>
      </c>
      <c r="G24" s="564">
        <f t="shared" si="1"/>
        <v>2565239.6249999995</v>
      </c>
      <c r="H24" s="564">
        <f t="shared" si="1"/>
        <v>2660204.4750000001</v>
      </c>
      <c r="I24" s="564">
        <f t="shared" si="1"/>
        <v>2739519</v>
      </c>
      <c r="J24" s="564">
        <f t="shared" si="1"/>
        <v>3034584.9000000004</v>
      </c>
      <c r="K24" s="564">
        <f t="shared" si="1"/>
        <v>3040943.8500000006</v>
      </c>
      <c r="L24" s="564">
        <f t="shared" si="1"/>
        <v>3007145.9250000007</v>
      </c>
      <c r="M24" s="564">
        <f t="shared" si="1"/>
        <v>2909922.3000000003</v>
      </c>
      <c r="N24" s="564">
        <f t="shared" si="1"/>
        <v>2905508.2500000005</v>
      </c>
      <c r="O24" s="564">
        <f t="shared" si="1"/>
        <v>35851320.45000001</v>
      </c>
    </row>
    <row r="25" spans="1:15" hidden="1" x14ac:dyDescent="0.2">
      <c r="A25" s="573" t="s">
        <v>308</v>
      </c>
      <c r="B25" s="573"/>
      <c r="C25" s="574">
        <f>'[3]PRESUPUSTO ESTATAL 2017'!B52</f>
        <v>1521250.4468291907</v>
      </c>
      <c r="D25" s="574">
        <f>'[3]PRESUPUSTO ESTATAL 2017'!C52</f>
        <v>1992155.4322061262</v>
      </c>
      <c r="E25" s="574">
        <f>'[3]PRESUPUSTO ESTATAL 2017'!D52</f>
        <v>1561223.5204092669</v>
      </c>
      <c r="F25" s="574">
        <f>'[3]PRESUPUSTO ESTATAL 2017'!E52</f>
        <v>1709133.4840227321</v>
      </c>
      <c r="G25" s="574">
        <f>'[3]PRESUPUSTO ESTATAL 2017'!F52</f>
        <v>1794276.5472658337</v>
      </c>
      <c r="H25" s="574">
        <f>'[3]PRESUPUSTO ESTATAL 2017'!G52</f>
        <v>1664193.9164477964</v>
      </c>
      <c r="I25" s="574">
        <f>'[3]PRESUPUSTO ESTATAL 2017'!H52</f>
        <v>1722567.8942233375</v>
      </c>
      <c r="J25" s="574">
        <f>'[3]PRESUPUSTO ESTATAL 2017'!I52</f>
        <v>1774773.0179705636</v>
      </c>
      <c r="K25" s="574">
        <f>'[3]PRESUPUSTO ESTATAL 2017'!J52</f>
        <v>1814273.0193366187</v>
      </c>
      <c r="L25" s="574">
        <f>'[3]PRESUPUSTO ESTATAL 2017'!K52</f>
        <v>1772942.0603667807</v>
      </c>
      <c r="M25" s="574">
        <f>'[3]PRESUPUSTO ESTATAL 2017'!L52</f>
        <v>1696337.0334839264</v>
      </c>
      <c r="N25" s="574">
        <f>'[3]PRESUPUSTO ESTATAL 2017'!M52</f>
        <v>1676873.6274378267</v>
      </c>
      <c r="O25" s="574">
        <f>SUM(C25:N25)</f>
        <v>20700000</v>
      </c>
    </row>
    <row r="26" spans="1:15" hidden="1" x14ac:dyDescent="0.2">
      <c r="A26" s="575" t="s">
        <v>309</v>
      </c>
      <c r="B26" s="575"/>
      <c r="C26" s="576">
        <f>C25-C24</f>
        <v>-996939.87817080948</v>
      </c>
      <c r="D26" s="576">
        <f t="shared" ref="D26:O26" si="2">D25-D24</f>
        <v>-3763689.0427938746</v>
      </c>
      <c r="E26" s="576">
        <f t="shared" si="2"/>
        <v>-829522.97959073354</v>
      </c>
      <c r="F26" s="576">
        <f t="shared" si="2"/>
        <v>-614337.34097726853</v>
      </c>
      <c r="G26" s="576">
        <f t="shared" si="2"/>
        <v>-770963.07773416582</v>
      </c>
      <c r="H26" s="576">
        <f t="shared" si="2"/>
        <v>-996010.5585522037</v>
      </c>
      <c r="I26" s="576">
        <f t="shared" si="2"/>
        <v>-1016951.1057766625</v>
      </c>
      <c r="J26" s="576">
        <f t="shared" si="2"/>
        <v>-1259811.8820294368</v>
      </c>
      <c r="K26" s="576">
        <f t="shared" si="2"/>
        <v>-1226670.8306633818</v>
      </c>
      <c r="L26" s="576">
        <f t="shared" si="2"/>
        <v>-1234203.86463322</v>
      </c>
      <c r="M26" s="576">
        <f t="shared" si="2"/>
        <v>-1213585.2665160738</v>
      </c>
      <c r="N26" s="576">
        <f t="shared" si="2"/>
        <v>-1228634.6225621738</v>
      </c>
      <c r="O26" s="576">
        <f t="shared" si="2"/>
        <v>-15151320.45000001</v>
      </c>
    </row>
    <row r="27" spans="1:15" x14ac:dyDescent="0.2">
      <c r="A27" s="566" t="s">
        <v>281</v>
      </c>
    </row>
    <row r="28" spans="1:15" x14ac:dyDescent="0.2">
      <c r="D28" s="561"/>
    </row>
    <row r="31" spans="1:15" x14ac:dyDescent="0.2">
      <c r="C31" s="561"/>
      <c r="D31" s="561"/>
      <c r="E31" s="561"/>
      <c r="F31" s="561"/>
      <c r="G31" s="561"/>
      <c r="H31" s="561"/>
      <c r="I31" s="561"/>
      <c r="J31" s="561"/>
      <c r="K31" s="561"/>
      <c r="L31" s="561"/>
      <c r="M31" s="561"/>
      <c r="N31" s="561"/>
      <c r="O31" s="561"/>
    </row>
    <row r="35" spans="11:11" x14ac:dyDescent="0.2">
      <c r="K35" s="561"/>
    </row>
  </sheetData>
  <mergeCells count="1">
    <mergeCell ref="A1:O1"/>
  </mergeCells>
  <printOptions horizontalCentered="1"/>
  <pageMargins left="0.74803149606299213" right="0.74803149606299213" top="0.98425196850393704" bottom="0.98425196850393704" header="0" footer="0"/>
  <pageSetup paperSize="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25"/>
  <sheetViews>
    <sheetView workbookViewId="0">
      <selection sqref="A1:O1"/>
    </sheetView>
  </sheetViews>
  <sheetFormatPr baseColWidth="10" defaultRowHeight="12.75" x14ac:dyDescent="0.2"/>
  <cols>
    <col min="1" max="1" width="16.85546875" style="552" customWidth="1"/>
    <col min="2" max="2" width="9.28515625" style="552" hidden="1" customWidth="1"/>
    <col min="3" max="10" width="9.7109375" style="552" customWidth="1"/>
    <col min="11" max="11" width="10.140625" style="552" customWidth="1"/>
    <col min="12" max="15" width="9.7109375" style="552" customWidth="1"/>
    <col min="16" max="16" width="11.7109375" style="552" bestFit="1" customWidth="1"/>
    <col min="17" max="16384" width="11.42578125" style="552"/>
  </cols>
  <sheetData>
    <row r="1" spans="1:16" x14ac:dyDescent="0.2">
      <c r="A1" s="1215" t="s">
        <v>428</v>
      </c>
      <c r="B1" s="1215"/>
      <c r="C1" s="1215"/>
      <c r="D1" s="1215"/>
      <c r="E1" s="1215"/>
      <c r="F1" s="1215"/>
      <c r="G1" s="1215"/>
      <c r="H1" s="1215"/>
      <c r="I1" s="1215"/>
      <c r="J1" s="1215"/>
      <c r="K1" s="1215"/>
      <c r="L1" s="1215"/>
      <c r="M1" s="1215"/>
      <c r="N1" s="1215"/>
      <c r="O1" s="1215"/>
    </row>
    <row r="2" spans="1:16" ht="13.5" thickBot="1" x14ac:dyDescent="0.25"/>
    <row r="3" spans="1:16" ht="34.5" thickBot="1" x14ac:dyDescent="0.25">
      <c r="A3" s="847" t="s">
        <v>307</v>
      </c>
      <c r="B3" s="851" t="s">
        <v>273</v>
      </c>
      <c r="C3" s="847" t="s">
        <v>1</v>
      </c>
      <c r="D3" s="849" t="s">
        <v>2</v>
      </c>
      <c r="E3" s="847" t="s">
        <v>3</v>
      </c>
      <c r="F3" s="849" t="s">
        <v>4</v>
      </c>
      <c r="G3" s="847" t="s">
        <v>5</v>
      </c>
      <c r="H3" s="847" t="s">
        <v>6</v>
      </c>
      <c r="I3" s="847" t="s">
        <v>7</v>
      </c>
      <c r="J3" s="849" t="s">
        <v>8</v>
      </c>
      <c r="K3" s="847" t="s">
        <v>9</v>
      </c>
      <c r="L3" s="849" t="s">
        <v>10</v>
      </c>
      <c r="M3" s="847" t="s">
        <v>11</v>
      </c>
      <c r="N3" s="847" t="s">
        <v>12</v>
      </c>
      <c r="O3" s="850" t="s">
        <v>165</v>
      </c>
    </row>
    <row r="4" spans="1:16" x14ac:dyDescent="0.2">
      <c r="A4" s="557" t="s">
        <v>274</v>
      </c>
      <c r="B4" s="568"/>
      <c r="C4" s="559">
        <f>IEPSGASINCREMENTO!C7</f>
        <v>171123.83285976999</v>
      </c>
      <c r="D4" s="559">
        <f>IEPSGASINCREMENTO!D7</f>
        <v>188146.75354945869</v>
      </c>
      <c r="E4" s="559">
        <f>IEPSGASINCREMENTO!E7</f>
        <v>183180.2836724254</v>
      </c>
      <c r="F4" s="559">
        <f>IEPSGASINCREMENTO!F7</f>
        <v>170685.8568392561</v>
      </c>
      <c r="G4" s="559">
        <f>IEPSGASINCREMENTO!G7</f>
        <v>188071.42048053513</v>
      </c>
      <c r="H4" s="559">
        <f>IEPSGASINCREMENTO!H7</f>
        <v>181511.26630814857</v>
      </c>
      <c r="I4" s="559">
        <f>IEPSGASINCREMENTO!I7</f>
        <v>185295.52233280669</v>
      </c>
      <c r="J4" s="559">
        <f>IEPSGASINCREMENTO!J7</f>
        <v>185185.41806879401</v>
      </c>
      <c r="K4" s="559">
        <f>IEPSGASINCREMENTO!K7</f>
        <v>192707.57078487621</v>
      </c>
      <c r="L4" s="559">
        <f>IEPSGASINCREMENTO!L7</f>
        <v>191015.37714430946</v>
      </c>
      <c r="M4" s="559">
        <f>IEPSGASINCREMENTO!M7</f>
        <v>178520.95031114016</v>
      </c>
      <c r="N4" s="559">
        <f>IEPSGASINCREMENTO!N7</f>
        <v>184350.90938665561</v>
      </c>
      <c r="O4" s="560">
        <f>SUM(C4:N4)</f>
        <v>2199795.1617381759</v>
      </c>
      <c r="P4" s="561"/>
    </row>
    <row r="5" spans="1:16" x14ac:dyDescent="0.2">
      <c r="A5" s="557" t="s">
        <v>144</v>
      </c>
      <c r="B5" s="569"/>
      <c r="C5" s="559">
        <f>IEPSGASINCREMENTO!C8</f>
        <v>70748.527052278674</v>
      </c>
      <c r="D5" s="559">
        <f>IEPSGASINCREMENTO!D8</f>
        <v>77786.392817651969</v>
      </c>
      <c r="E5" s="559">
        <f>IEPSGASINCREMENTO!E8</f>
        <v>75733.081934079411</v>
      </c>
      <c r="F5" s="559">
        <f>IEPSGASINCREMENTO!F8</f>
        <v>70567.45257645761</v>
      </c>
      <c r="G5" s="559">
        <f>IEPSGASINCREMENTO!G8</f>
        <v>77755.247514419796</v>
      </c>
      <c r="H5" s="559">
        <f>IEPSGASINCREMENTO!H8</f>
        <v>75043.052274423375</v>
      </c>
      <c r="I5" s="559">
        <f>IEPSGASINCREMENTO!I8</f>
        <v>76607.594952430532</v>
      </c>
      <c r="J5" s="559">
        <f>IEPSGASINCREMENTO!J8</f>
        <v>76562.074031288852</v>
      </c>
      <c r="K5" s="559">
        <f>IEPSGASINCREMENTO!K8</f>
        <v>79671.992831209704</v>
      </c>
      <c r="L5" s="559">
        <f>IEPSGASINCREMENTO!L8</f>
        <v>78972.381295185754</v>
      </c>
      <c r="M5" s="559">
        <f>IEPSGASINCREMENTO!M8</f>
        <v>73806.751937563953</v>
      </c>
      <c r="N5" s="559">
        <f>IEPSGASINCREMENTO!N8</f>
        <v>76217.059201460856</v>
      </c>
      <c r="O5" s="560">
        <f t="shared" ref="O5:O23" si="0">SUM(C5:N5)</f>
        <v>909471.60841845046</v>
      </c>
      <c r="P5" s="561"/>
    </row>
    <row r="6" spans="1:16" x14ac:dyDescent="0.2">
      <c r="A6" s="557" t="s">
        <v>145</v>
      </c>
      <c r="B6" s="569"/>
      <c r="C6" s="559">
        <f>IEPSGASINCREMENTO!C9</f>
        <v>53021.178982335252</v>
      </c>
      <c r="D6" s="559">
        <f>IEPSGASINCREMENTO!D9</f>
        <v>58295.577700541333</v>
      </c>
      <c r="E6" s="559">
        <f>IEPSGASINCREMENTO!E9</f>
        <v>56756.761722311436</v>
      </c>
      <c r="F6" s="559">
        <f>IEPSGASINCREMENTO!F9</f>
        <v>52885.476055480714</v>
      </c>
      <c r="G6" s="559">
        <f>IEPSGASINCREMENTO!G9</f>
        <v>58272.23642735961</v>
      </c>
      <c r="H6" s="559">
        <f>IEPSGASINCREMENTO!H9</f>
        <v>56239.631718167213</v>
      </c>
      <c r="I6" s="559">
        <f>IEPSGASINCREMENTO!I9</f>
        <v>57412.149377719637</v>
      </c>
      <c r="J6" s="559">
        <f>IEPSGASINCREMENTO!J9</f>
        <v>57378.034562784909</v>
      </c>
      <c r="K6" s="559">
        <f>IEPSGASINCREMENTO!K9</f>
        <v>59708.705859860638</v>
      </c>
      <c r="L6" s="559">
        <f>IEPSGASINCREMENTO!L9</f>
        <v>59184.394895164209</v>
      </c>
      <c r="M6" s="559">
        <f>IEPSGASINCREMENTO!M9</f>
        <v>55313.109228333495</v>
      </c>
      <c r="N6" s="559">
        <f>IEPSGASINCREMENTO!N9</f>
        <v>57119.469560712801</v>
      </c>
      <c r="O6" s="560">
        <f t="shared" si="0"/>
        <v>681586.72609077115</v>
      </c>
      <c r="P6" s="561"/>
    </row>
    <row r="7" spans="1:16" x14ac:dyDescent="0.2">
      <c r="A7" s="557" t="s">
        <v>275</v>
      </c>
      <c r="B7" s="569"/>
      <c r="C7" s="559">
        <f>IEPSGASINCREMENTO!C10</f>
        <v>862384.6961523518</v>
      </c>
      <c r="D7" s="559">
        <f>IEPSGASINCREMENTO!D10</f>
        <v>948172.3158033957</v>
      </c>
      <c r="E7" s="559">
        <f>IEPSGASINCREMENTO!E10</f>
        <v>923143.61264569522</v>
      </c>
      <c r="F7" s="559">
        <f>IEPSGASINCREMENTO!F10</f>
        <v>860177.50028102961</v>
      </c>
      <c r="G7" s="559">
        <f>IEPSGASINCREMENTO!G10</f>
        <v>947792.67209937063</v>
      </c>
      <c r="H7" s="559">
        <f>IEPSGASINCREMENTO!H10</f>
        <v>914732.53974888625</v>
      </c>
      <c r="I7" s="559">
        <f>IEPSGASINCREMENTO!I10</f>
        <v>933803.43377603078</v>
      </c>
      <c r="J7" s="559">
        <f>IEPSGASINCREMENTO!J10</f>
        <v>933248.55938665557</v>
      </c>
      <c r="K7" s="559">
        <f>IEPSGASINCREMENTO!K10</f>
        <v>971156.71791759459</v>
      </c>
      <c r="L7" s="559">
        <f>IEPSGASINCREMENTO!L10</f>
        <v>962628.84734478605</v>
      </c>
      <c r="M7" s="559">
        <f>IEPSGASINCREMENTO!M10</f>
        <v>899662.73498012067</v>
      </c>
      <c r="N7" s="559">
        <f>IEPSGASINCREMENTO!N10</f>
        <v>929043.02293825115</v>
      </c>
      <c r="O7" s="560">
        <f t="shared" si="0"/>
        <v>11085946.65307417</v>
      </c>
      <c r="P7" s="561"/>
    </row>
    <row r="8" spans="1:16" x14ac:dyDescent="0.2">
      <c r="A8" s="557" t="s">
        <v>147</v>
      </c>
      <c r="B8" s="569"/>
      <c r="C8" s="559">
        <f>IEPSGASINCREMENTO!C11</f>
        <v>355907.42160853965</v>
      </c>
      <c r="D8" s="559">
        <f>IEPSGASINCREMENTO!D11</f>
        <v>391312.0973317544</v>
      </c>
      <c r="E8" s="559">
        <f>IEPSGASINCREMENTO!E11</f>
        <v>380982.71504238114</v>
      </c>
      <c r="F8" s="559">
        <f>IEPSGASINCREMENTO!F11</f>
        <v>354996.50865397067</v>
      </c>
      <c r="G8" s="559">
        <f>IEPSGASINCREMENTO!G11</f>
        <v>391155.41782151692</v>
      </c>
      <c r="H8" s="559">
        <f>IEPSGASINCREMENTO!H11</f>
        <v>377511.45299306489</v>
      </c>
      <c r="I8" s="559">
        <f>IEPSGASINCREMENTO!I11</f>
        <v>385382.03876673878</v>
      </c>
      <c r="J8" s="559">
        <f>IEPSGASINCREMENTO!J11</f>
        <v>385153.04129714041</v>
      </c>
      <c r="K8" s="559">
        <f>IEPSGASINCREMENTO!K11</f>
        <v>400797.79359952919</v>
      </c>
      <c r="L8" s="559">
        <f>IEPSGASINCREMENTO!L11</f>
        <v>397278.32897901669</v>
      </c>
      <c r="M8" s="559">
        <f>IEPSGASINCREMENTO!M11</f>
        <v>371292.12259060622</v>
      </c>
      <c r="N8" s="559">
        <f>IEPSGASINCREMENTO!N11</f>
        <v>383417.41027248243</v>
      </c>
      <c r="O8" s="560">
        <f t="shared" si="0"/>
        <v>4575186.3489567414</v>
      </c>
      <c r="P8" s="561"/>
    </row>
    <row r="9" spans="1:16" x14ac:dyDescent="0.2">
      <c r="A9" s="557" t="s">
        <v>276</v>
      </c>
      <c r="B9" s="569"/>
      <c r="C9" s="559">
        <f>IEPSGASINCREMENTO!C12</f>
        <v>218546.90192528104</v>
      </c>
      <c r="D9" s="559">
        <f>IEPSGASINCREMENTO!D12</f>
        <v>240287.33700249143</v>
      </c>
      <c r="E9" s="559">
        <f>IEPSGASINCREMENTO!E12</f>
        <v>233944.52322259962</v>
      </c>
      <c r="F9" s="559">
        <f>IEPSGASINCREMENTO!F12</f>
        <v>217987.550835481</v>
      </c>
      <c r="G9" s="559">
        <f>IEPSGASINCREMENTO!G12</f>
        <v>240191.12709092841</v>
      </c>
      <c r="H9" s="559">
        <f>IEPSGASINCREMENTO!H12</f>
        <v>231812.97574539282</v>
      </c>
      <c r="I9" s="559">
        <f>IEPSGASINCREMENTO!I12</f>
        <v>236645.95205535449</v>
      </c>
      <c r="J9" s="559">
        <f>IEPSGASINCREMENTO!J12</f>
        <v>236505.33490468297</v>
      </c>
      <c r="K9" s="559">
        <f>IEPSGASINCREMENTO!K12</f>
        <v>246112.08075904768</v>
      </c>
      <c r="L9" s="559">
        <f>IEPSGASINCREMENTO!L12</f>
        <v>243950.9342289406</v>
      </c>
      <c r="M9" s="559">
        <f>IEPSGASINCREMENTO!M12</f>
        <v>227993.96184182196</v>
      </c>
      <c r="N9" s="559">
        <f>IEPSGASINCREMENTO!N12</f>
        <v>235439.5611660796</v>
      </c>
      <c r="O9" s="560">
        <f t="shared" si="0"/>
        <v>2809418.2407781021</v>
      </c>
      <c r="P9" s="561"/>
    </row>
    <row r="10" spans="1:16" x14ac:dyDescent="0.2">
      <c r="A10" s="557" t="s">
        <v>149</v>
      </c>
      <c r="B10" s="569"/>
      <c r="C10" s="559">
        <f>IEPSGASINCREMENTO!C13</f>
        <v>56210.906636092252</v>
      </c>
      <c r="D10" s="559">
        <f>IEPSGASINCREMENTO!D13</f>
        <v>61802.610547643948</v>
      </c>
      <c r="E10" s="559">
        <f>IEPSGASINCREMENTO!E13</f>
        <v>60171.220168504587</v>
      </c>
      <c r="F10" s="559">
        <f>IEPSGASINCREMENTO!F13</f>
        <v>56067.039888915504</v>
      </c>
      <c r="G10" s="559">
        <f>IEPSGASINCREMENTO!G13</f>
        <v>61777.865075122063</v>
      </c>
      <c r="H10" s="559">
        <f>IEPSGASINCREMENTO!H13</f>
        <v>59622.979881517429</v>
      </c>
      <c r="I10" s="559">
        <f>IEPSGASINCREMENTO!I13</f>
        <v>60866.035618022819</v>
      </c>
      <c r="J10" s="559">
        <f>IEPSGASINCREMENTO!J13</f>
        <v>60829.868472855364</v>
      </c>
      <c r="K10" s="559">
        <f>IEPSGASINCREMENTO!K13</f>
        <v>63300.751791443799</v>
      </c>
      <c r="L10" s="559">
        <f>IEPSGASINCREMENTO!L13</f>
        <v>62744.898540903116</v>
      </c>
      <c r="M10" s="559">
        <f>IEPSGASINCREMENTO!M13</f>
        <v>58640.718261314032</v>
      </c>
      <c r="N10" s="559">
        <f>IEPSGASINCREMENTO!N13</f>
        <v>60555.748329361792</v>
      </c>
      <c r="O10" s="560">
        <f t="shared" si="0"/>
        <v>722590.64321169665</v>
      </c>
      <c r="P10" s="561"/>
    </row>
    <row r="11" spans="1:16" x14ac:dyDescent="0.2">
      <c r="A11" s="557" t="s">
        <v>150</v>
      </c>
      <c r="B11" s="569"/>
      <c r="C11" s="559">
        <f>IEPSGASINCREMENTO!C14</f>
        <v>134662.58001070051</v>
      </c>
      <c r="D11" s="559">
        <f>IEPSGASINCREMENTO!D14</f>
        <v>148058.43715743418</v>
      </c>
      <c r="E11" s="559">
        <f>IEPSGASINCREMENTO!E14</f>
        <v>144150.17005045101</v>
      </c>
      <c r="F11" s="559">
        <f>IEPSGASINCREMENTO!F14</f>
        <v>134317.92327925883</v>
      </c>
      <c r="G11" s="559">
        <f>IEPSGASINCREMENTO!G14</f>
        <v>147999.15526050708</v>
      </c>
      <c r="H11" s="559">
        <f>IEPSGASINCREMENTO!H14</f>
        <v>142836.76921901709</v>
      </c>
      <c r="I11" s="559">
        <f>IEPSGASINCREMENTO!I14</f>
        <v>145814.71607297228</v>
      </c>
      <c r="J11" s="559">
        <f>IEPSGASINCREMENTO!J14</f>
        <v>145728.07165872358</v>
      </c>
      <c r="K11" s="559">
        <f>IEPSGASINCREMENTO!K14</f>
        <v>151647.48378883992</v>
      </c>
      <c r="L11" s="559">
        <f>IEPSGASINCREMENTO!L14</f>
        <v>150315.84483646121</v>
      </c>
      <c r="M11" s="559">
        <f>IEPSGASINCREMENTO!M14</f>
        <v>140483.59806526901</v>
      </c>
      <c r="N11" s="559">
        <f>IEPSGASINCREMENTO!N14</f>
        <v>145071.37124300664</v>
      </c>
      <c r="O11" s="560">
        <f t="shared" si="0"/>
        <v>1731086.1206426413</v>
      </c>
      <c r="P11" s="561"/>
    </row>
    <row r="12" spans="1:16" x14ac:dyDescent="0.2">
      <c r="A12" s="557" t="s">
        <v>151</v>
      </c>
      <c r="B12" s="569"/>
      <c r="C12" s="559">
        <f>IEPSGASINCREMENTO!C15</f>
        <v>88802.201726568979</v>
      </c>
      <c r="D12" s="559">
        <f>IEPSGASINCREMENTO!D15</f>
        <v>97635.99659779467</v>
      </c>
      <c r="E12" s="559">
        <f>IEPSGASINCREMENTO!E15</f>
        <v>95058.719940774899</v>
      </c>
      <c r="F12" s="559">
        <f>IEPSGASINCREMENTO!F15</f>
        <v>88574.920498261359</v>
      </c>
      <c r="G12" s="559">
        <f>IEPSGASINCREMENTO!G15</f>
        <v>97596.903607230852</v>
      </c>
      <c r="H12" s="559">
        <f>IEPSGASINCREMENTO!H15</f>
        <v>94192.607873327739</v>
      </c>
      <c r="I12" s="559">
        <f>IEPSGASINCREMENTO!I15</f>
        <v>96156.392001293454</v>
      </c>
      <c r="J12" s="559">
        <f>IEPSGASINCREMENTO!J15</f>
        <v>96099.255009324479</v>
      </c>
      <c r="K12" s="559">
        <f>IEPSGASINCREMENTO!K15</f>
        <v>100002.7657696227</v>
      </c>
      <c r="L12" s="559">
        <f>IEPSGASINCREMENTO!L15</f>
        <v>99124.626713719481</v>
      </c>
      <c r="M12" s="559">
        <f>IEPSGASINCREMENTO!M15</f>
        <v>92640.827271205926</v>
      </c>
      <c r="N12" s="559">
        <f>IEPSGASINCREMENTO!N15</f>
        <v>95666.198975600913</v>
      </c>
      <c r="O12" s="560">
        <f t="shared" si="0"/>
        <v>1141551.4159847253</v>
      </c>
      <c r="P12" s="561"/>
    </row>
    <row r="13" spans="1:16" x14ac:dyDescent="0.2">
      <c r="A13" s="557" t="s">
        <v>152</v>
      </c>
      <c r="B13" s="569"/>
      <c r="C13" s="559">
        <f>IEPSGASINCREMENTO!C16</f>
        <v>63054.573028663108</v>
      </c>
      <c r="D13" s="559">
        <f>IEPSGASINCREMENTO!D16</f>
        <v>69327.065748415975</v>
      </c>
      <c r="E13" s="559">
        <f>IEPSGASINCREMENTO!E16</f>
        <v>67497.053924097665</v>
      </c>
      <c r="F13" s="559">
        <f>IEPSGASINCREMENTO!F16</f>
        <v>62893.190534426161</v>
      </c>
      <c r="G13" s="559">
        <f>IEPSGASINCREMENTO!G16</f>
        <v>69299.307519672919</v>
      </c>
      <c r="H13" s="559">
        <f>IEPSGASINCREMENTO!H16</f>
        <v>66882.065494238574</v>
      </c>
      <c r="I13" s="559">
        <f>IEPSGASINCREMENTO!I16</f>
        <v>68276.463012563792</v>
      </c>
      <c r="J13" s="559">
        <f>IEPSGASINCREMENTO!J16</f>
        <v>68235.89252486531</v>
      </c>
      <c r="K13" s="559">
        <f>IEPSGASINCREMENTO!K16</f>
        <v>71007.605382405367</v>
      </c>
      <c r="L13" s="559">
        <f>IEPSGASINCREMENTO!L16</f>
        <v>70384.077112236308</v>
      </c>
      <c r="M13" s="559">
        <f>IEPSGASINCREMENTO!M16</f>
        <v>65780.213722564789</v>
      </c>
      <c r="N13" s="559">
        <f>IEPSGASINCREMENTO!N16</f>
        <v>67928.398309935772</v>
      </c>
      <c r="O13" s="560">
        <f t="shared" si="0"/>
        <v>810565.9063140857</v>
      </c>
      <c r="P13" s="561"/>
    </row>
    <row r="14" spans="1:16" x14ac:dyDescent="0.2">
      <c r="A14" s="557" t="s">
        <v>153</v>
      </c>
      <c r="B14" s="569"/>
      <c r="C14" s="559">
        <f>IEPSGASINCREMENTO!C17</f>
        <v>154278.94546637032</v>
      </c>
      <c r="D14" s="559">
        <f>IEPSGASINCREMENTO!D17</f>
        <v>169626.18383097011</v>
      </c>
      <c r="E14" s="559">
        <f>IEPSGASINCREMENTO!E17</f>
        <v>165148.5974976446</v>
      </c>
      <c r="F14" s="559">
        <f>IEPSGASINCREMENTO!F17</f>
        <v>153884.08241629001</v>
      </c>
      <c r="G14" s="559">
        <f>IEPSGASINCREMENTO!G17</f>
        <v>169558.2663104352</v>
      </c>
      <c r="H14" s="559">
        <f>IEPSGASINCREMENTO!H17</f>
        <v>163643.87290947634</v>
      </c>
      <c r="I14" s="559">
        <f>IEPSGASINCREMENTO!I17</f>
        <v>167055.61877270418</v>
      </c>
      <c r="J14" s="559">
        <f>IEPSGASINCREMENTO!J17</f>
        <v>166956.35282324906</v>
      </c>
      <c r="K14" s="559">
        <f>IEPSGASINCREMENTO!K17</f>
        <v>173738.04868220721</v>
      </c>
      <c r="L14" s="559">
        <f>IEPSGASINCREMENTO!L17</f>
        <v>172212.42921688431</v>
      </c>
      <c r="M14" s="559">
        <f>IEPSGASINCREMENTO!M17</f>
        <v>160947.91413552972</v>
      </c>
      <c r="N14" s="559">
        <f>IEPSGASINCREMENTO!N17</f>
        <v>166203.99052916496</v>
      </c>
      <c r="O14" s="560">
        <f t="shared" si="0"/>
        <v>1983254.3025909259</v>
      </c>
      <c r="P14" s="561"/>
    </row>
    <row r="15" spans="1:16" x14ac:dyDescent="0.2">
      <c r="A15" s="557" t="s">
        <v>154</v>
      </c>
      <c r="B15" s="569"/>
      <c r="C15" s="559">
        <f>IEPSGASINCREMENTO!C18</f>
        <v>110748.81490623705</v>
      </c>
      <c r="D15" s="559">
        <f>IEPSGASINCREMENTO!D18</f>
        <v>121765.79752706694</v>
      </c>
      <c r="E15" s="559">
        <f>IEPSGASINCREMENTO!E18</f>
        <v>118551.57164188771</v>
      </c>
      <c r="F15" s="559">
        <f>IEPSGASINCREMENTO!F18</f>
        <v>110465.36330035224</v>
      </c>
      <c r="G15" s="559">
        <f>IEPSGASINCREMENTO!G18</f>
        <v>121717.04307850705</v>
      </c>
      <c r="H15" s="559">
        <f>IEPSGASINCREMENTO!H18</f>
        <v>117471.40827678202</v>
      </c>
      <c r="I15" s="559">
        <f>IEPSGASINCREMENTO!I18</f>
        <v>119920.52283335062</v>
      </c>
      <c r="J15" s="559">
        <f>IEPSGASINCREMENTO!J18</f>
        <v>119849.26498135101</v>
      </c>
      <c r="K15" s="559">
        <f>IEPSGASINCREMENTO!K18</f>
        <v>124717.49101934832</v>
      </c>
      <c r="L15" s="559">
        <f>IEPSGASINCREMENTO!L18</f>
        <v>123622.32831084233</v>
      </c>
      <c r="M15" s="559">
        <f>IEPSGASINCREMENTO!M18</f>
        <v>115536.11996930686</v>
      </c>
      <c r="N15" s="559">
        <f>IEPSGASINCREMENTO!N18</f>
        <v>119309.18329879819</v>
      </c>
      <c r="O15" s="560">
        <f t="shared" si="0"/>
        <v>1423674.9091438306</v>
      </c>
      <c r="P15" s="561"/>
    </row>
    <row r="16" spans="1:16" x14ac:dyDescent="0.2">
      <c r="A16" s="557" t="s">
        <v>155</v>
      </c>
      <c r="B16" s="569"/>
      <c r="C16" s="559">
        <f>IEPSGASINCREMENTO!C19</f>
        <v>190822.92900386581</v>
      </c>
      <c r="D16" s="559">
        <f>IEPSGASINCREMENTO!D19</f>
        <v>209805.46072911541</v>
      </c>
      <c r="E16" s="559">
        <f>IEPSGASINCREMENTO!E19</f>
        <v>204267.27056058656</v>
      </c>
      <c r="F16" s="559">
        <f>IEPSGASINCREMENTO!F19</f>
        <v>190334.53492297578</v>
      </c>
      <c r="G16" s="559">
        <f>IEPSGASINCREMENTO!G19</f>
        <v>209721.45561642828</v>
      </c>
      <c r="H16" s="559">
        <f>IEPSGASINCREMENTO!H19</f>
        <v>202406.12254463127</v>
      </c>
      <c r="I16" s="559">
        <f>IEPSGASINCREMENTO!I19</f>
        <v>206626.00709640817</v>
      </c>
      <c r="J16" s="559">
        <f>IEPSGASINCREMENTO!J19</f>
        <v>206503.22806672193</v>
      </c>
      <c r="K16" s="559">
        <f>IEPSGASINCREMENTO!K19</f>
        <v>214891.30113468226</v>
      </c>
      <c r="L16" s="559">
        <f>IEPSGASINCREMENTO!L19</f>
        <v>213004.30888153851</v>
      </c>
      <c r="M16" s="559">
        <f>IEPSGASINCREMENTO!M19</f>
        <v>199071.57324392773</v>
      </c>
      <c r="N16" s="559">
        <f>IEPSGASINCREMENTO!N19</f>
        <v>205572.65405874432</v>
      </c>
      <c r="O16" s="560">
        <f t="shared" si="0"/>
        <v>2453026.8458596258</v>
      </c>
      <c r="P16" s="561"/>
    </row>
    <row r="17" spans="1:17" x14ac:dyDescent="0.2">
      <c r="A17" s="557" t="s">
        <v>277</v>
      </c>
      <c r="B17" s="569"/>
      <c r="C17" s="559">
        <f>IEPSGASINCREMENTO!C20</f>
        <v>35312.215509819856</v>
      </c>
      <c r="D17" s="559">
        <f>IEPSGASINCREMENTO!D20</f>
        <v>38824.976029235368</v>
      </c>
      <c r="E17" s="559">
        <f>IEPSGASINCREMENTO!E20</f>
        <v>37800.121386314051</v>
      </c>
      <c r="F17" s="559">
        <f>IEPSGASINCREMENTO!F20</f>
        <v>35221.837078212418</v>
      </c>
      <c r="G17" s="559">
        <f>IEPSGASINCREMENTO!G20</f>
        <v>38809.430692736132</v>
      </c>
      <c r="H17" s="559">
        <f>IEPSGASINCREMENTO!H20</f>
        <v>37455.71172769407</v>
      </c>
      <c r="I17" s="559">
        <f>IEPSGASINCREMENTO!I20</f>
        <v>38236.610928313115</v>
      </c>
      <c r="J17" s="559">
        <f>IEPSGASINCREMENTO!J20</f>
        <v>38213.890390592627</v>
      </c>
      <c r="K17" s="559">
        <f>IEPSGASINCREMENTO!K20</f>
        <v>39766.122323275784</v>
      </c>
      <c r="L17" s="559">
        <f>IEPSGASINCREMENTO!L20</f>
        <v>39416.930129988446</v>
      </c>
      <c r="M17" s="559">
        <f>IEPSGASINCREMENTO!M20</f>
        <v>36838.645821886821</v>
      </c>
      <c r="N17" s="559">
        <f>IEPSGASINCREMENTO!N20</f>
        <v>38041.685561282648</v>
      </c>
      <c r="O17" s="560">
        <f t="shared" si="0"/>
        <v>453938.17757935135</v>
      </c>
      <c r="P17" s="561"/>
    </row>
    <row r="18" spans="1:17" x14ac:dyDescent="0.2">
      <c r="A18" s="557" t="s">
        <v>278</v>
      </c>
      <c r="B18" s="569"/>
      <c r="C18" s="559">
        <f>IEPSGASINCREMENTO!C21</f>
        <v>114494.67663219087</v>
      </c>
      <c r="D18" s="559">
        <f>IEPSGASINCREMENTO!D21</f>
        <v>125884.28710975949</v>
      </c>
      <c r="E18" s="559">
        <f>IEPSGASINCREMENTO!E21</f>
        <v>122561.34633014046</v>
      </c>
      <c r="F18" s="559">
        <f>IEPSGASINCREMENTO!F21</f>
        <v>114201.6378309709</v>
      </c>
      <c r="G18" s="559">
        <f>IEPSGASINCREMENTO!G21</f>
        <v>125833.88363747882</v>
      </c>
      <c r="H18" s="559">
        <f>IEPSGASINCREMENTO!H21</f>
        <v>121444.64855506792</v>
      </c>
      <c r="I18" s="559">
        <f>IEPSGASINCREMENTO!I21</f>
        <v>123976.59961411011</v>
      </c>
      <c r="J18" s="559">
        <f>IEPSGASINCREMENTO!J21</f>
        <v>123902.93160484872</v>
      </c>
      <c r="K18" s="559">
        <f>IEPSGASINCREMENTO!K21</f>
        <v>128935.81585254757</v>
      </c>
      <c r="L18" s="559">
        <f>IEPSGASINCREMENTO!L21</f>
        <v>127803.61141066538</v>
      </c>
      <c r="M18" s="559">
        <f>IEPSGASINCREMENTO!M21</f>
        <v>119443.90291149584</v>
      </c>
      <c r="N18" s="559">
        <f>IEPSGASINCREMENTO!N21</f>
        <v>123344.58271731249</v>
      </c>
      <c r="O18" s="560">
        <f t="shared" si="0"/>
        <v>1471827.9242065887</v>
      </c>
      <c r="P18" s="561"/>
    </row>
    <row r="19" spans="1:17" x14ac:dyDescent="0.2">
      <c r="A19" s="557" t="s">
        <v>279</v>
      </c>
      <c r="B19" s="569"/>
      <c r="C19" s="559">
        <f>IEPSGASINCREMENTO!C22</f>
        <v>431950.71272008069</v>
      </c>
      <c r="D19" s="559">
        <f>IEPSGASINCREMENTO!D22</f>
        <v>474919.96254113875</v>
      </c>
      <c r="E19" s="559">
        <f>IEPSGASINCREMENTO!E22</f>
        <v>462383.60119838349</v>
      </c>
      <c r="F19" s="559">
        <f>IEPSGASINCREMENTO!F22</f>
        <v>430845.17381849297</v>
      </c>
      <c r="G19" s="559">
        <f>IEPSGASINCREMENTO!G22</f>
        <v>474729.8068376981</v>
      </c>
      <c r="H19" s="559">
        <f>IEPSGASINCREMENTO!H22</f>
        <v>458170.66821299191</v>
      </c>
      <c r="I19" s="559">
        <f>IEPSGASINCREMENTO!I22</f>
        <v>467722.8858068196</v>
      </c>
      <c r="J19" s="559">
        <f>IEPSGASINCREMENTO!J22</f>
        <v>467444.96066618321</v>
      </c>
      <c r="K19" s="559">
        <f>IEPSGASINCREMENTO!K22</f>
        <v>486432.37564281939</v>
      </c>
      <c r="L19" s="559">
        <f>IEPSGASINCREMENTO!L22</f>
        <v>482160.94110978057</v>
      </c>
      <c r="M19" s="559">
        <f>IEPSGASINCREMENTO!M22</f>
        <v>450622.51372989005</v>
      </c>
      <c r="N19" s="559">
        <f>IEPSGASINCREMENTO!N22</f>
        <v>465338.49417348742</v>
      </c>
      <c r="O19" s="560">
        <f t="shared" si="0"/>
        <v>5552722.0964577664</v>
      </c>
      <c r="P19" s="561"/>
    </row>
    <row r="20" spans="1:17" x14ac:dyDescent="0.2">
      <c r="A20" s="557" t="s">
        <v>159</v>
      </c>
      <c r="B20" s="569"/>
      <c r="C20" s="559">
        <f>IEPSGASINCREMENTO!C23</f>
        <v>170678.00637214113</v>
      </c>
      <c r="D20" s="559">
        <f>IEPSGASINCREMENTO!D23</f>
        <v>187656.57748869646</v>
      </c>
      <c r="E20" s="559">
        <f>IEPSGASINCREMENTO!E23</f>
        <v>182703.04668498918</v>
      </c>
      <c r="F20" s="559">
        <f>IEPSGASINCREMENTO!F23</f>
        <v>170241.17140432357</v>
      </c>
      <c r="G20" s="559">
        <f>IEPSGASINCREMENTO!G23</f>
        <v>187581.44068394587</v>
      </c>
      <c r="H20" s="559">
        <f>IEPSGASINCREMENTO!H23</f>
        <v>181038.37758791086</v>
      </c>
      <c r="I20" s="559">
        <f>IEPSGASINCREMENTO!I23</f>
        <v>184812.77454417638</v>
      </c>
      <c r="J20" s="559">
        <f>IEPSGASINCREMENTO!J23</f>
        <v>184702.9571332366</v>
      </c>
      <c r="K20" s="559">
        <f>IEPSGASINCREMENTO!K23</f>
        <v>192205.51249184509</v>
      </c>
      <c r="L20" s="559">
        <f>IEPSGASINCREMENTO!L23</f>
        <v>190517.72749929986</v>
      </c>
      <c r="M20" s="559">
        <f>IEPSGASINCREMENTO!M23</f>
        <v>178055.85221863422</v>
      </c>
      <c r="N20" s="559">
        <f>IEPSGASINCREMENTO!N23</f>
        <v>183870.62258469744</v>
      </c>
      <c r="O20" s="560">
        <f t="shared" si="0"/>
        <v>2194064.0666938969</v>
      </c>
      <c r="P20" s="561"/>
    </row>
    <row r="21" spans="1:17" x14ac:dyDescent="0.2">
      <c r="A21" s="557" t="s">
        <v>160</v>
      </c>
      <c r="B21" s="571"/>
      <c r="C21" s="559">
        <f>IEPSGASINCREMENTO!C24</f>
        <v>1957610.3187302502</v>
      </c>
      <c r="D21" s="559">
        <f>IEPSGASINCREMENTO!D24</f>
        <v>2152347.9227223797</v>
      </c>
      <c r="E21" s="559">
        <f>IEPSGASINCREMENTO!E24</f>
        <v>2095532.851925605</v>
      </c>
      <c r="F21" s="559">
        <f>IEPSGASINCREMENTO!F24</f>
        <v>1952599.9916309444</v>
      </c>
      <c r="G21" s="559">
        <f>IEPSGASINCREMENTO!G24</f>
        <v>2151486.1328091817</v>
      </c>
      <c r="H21" s="559">
        <f>IEPSGASINCREMENTO!H24</f>
        <v>2076439.7451394466</v>
      </c>
      <c r="I21" s="559">
        <f>IEPSGASINCREMENTO!I24</f>
        <v>2119730.6095315418</v>
      </c>
      <c r="J21" s="559">
        <f>IEPSGASINCREMENTO!J24</f>
        <v>2118471.0465602987</v>
      </c>
      <c r="K21" s="559">
        <f>IEPSGASINCREMENTO!K24</f>
        <v>2204522.4371233778</v>
      </c>
      <c r="L21" s="559">
        <f>IEPSGASINCREMENTO!L24</f>
        <v>2185164.2000110894</v>
      </c>
      <c r="M21" s="559">
        <f>IEPSGASINCREMENTO!M24</f>
        <v>2042231.3397164289</v>
      </c>
      <c r="N21" s="559">
        <f>IEPSGASINCREMENTO!N24</f>
        <v>2108924.4931672197</v>
      </c>
      <c r="O21" s="560">
        <f t="shared" si="0"/>
        <v>25165061.089067765</v>
      </c>
      <c r="P21" s="561"/>
      <c r="Q21" s="561"/>
    </row>
    <row r="22" spans="1:17" x14ac:dyDescent="0.2">
      <c r="A22" s="557" t="s">
        <v>161</v>
      </c>
      <c r="B22" s="571"/>
      <c r="C22" s="559">
        <f>IEPSGASINCREMENTO!C25</f>
        <v>138178.63426880437</v>
      </c>
      <c r="D22" s="559">
        <f>IEPSGASINCREMENTO!D25</f>
        <v>151924.25866756891</v>
      </c>
      <c r="E22" s="559">
        <f>IEPSGASINCREMENTO!E25</f>
        <v>147913.94629157169</v>
      </c>
      <c r="F22" s="559">
        <f>IEPSGASINCREMENTO!F25</f>
        <v>137824.9785135205</v>
      </c>
      <c r="G22" s="559">
        <f>IEPSGASINCREMENTO!G25</f>
        <v>151863.42891402042</v>
      </c>
      <c r="H22" s="559">
        <f>IEPSGASINCREMENTO!H25</f>
        <v>146566.25242501553</v>
      </c>
      <c r="I22" s="559">
        <f>IEPSGASINCREMENTO!I25</f>
        <v>149621.95378742748</v>
      </c>
      <c r="J22" s="559">
        <f>IEPSGASINCREMENTO!J25</f>
        <v>149533.04707832573</v>
      </c>
      <c r="K22" s="559">
        <f>IEPSGASINCREMENTO!K25</f>
        <v>155607.01568748703</v>
      </c>
      <c r="L22" s="559">
        <f>IEPSGASINCREMENTO!L25</f>
        <v>154240.6075007123</v>
      </c>
      <c r="M22" s="559">
        <f>IEPSGASINCREMENTO!M25</f>
        <v>144151.63972266109</v>
      </c>
      <c r="N22" s="559">
        <f>IEPSGASINCREMENTO!N25</f>
        <v>148859.20014504765</v>
      </c>
      <c r="O22" s="560">
        <f t="shared" si="0"/>
        <v>1776284.963002163</v>
      </c>
      <c r="P22" s="561"/>
      <c r="Q22" s="561"/>
    </row>
    <row r="23" spans="1:17" ht="13.5" thickBot="1" x14ac:dyDescent="0.25">
      <c r="A23" s="557" t="s">
        <v>162</v>
      </c>
      <c r="B23" s="570"/>
      <c r="C23" s="559">
        <f>IEPSGASINCREMENTO!C26</f>
        <v>299802.22640765837</v>
      </c>
      <c r="D23" s="559">
        <f>IEPSGASINCREMENTO!D26</f>
        <v>329625.7140974871</v>
      </c>
      <c r="E23" s="559">
        <f>IEPSGASINCREMENTO!E26</f>
        <v>320924.65415955731</v>
      </c>
      <c r="F23" s="559">
        <f>IEPSGASINCREMENTO!F26</f>
        <v>299034.90964137932</v>
      </c>
      <c r="G23" s="559">
        <f>IEPSGASINCREMENTO!G26</f>
        <v>329493.73352290574</v>
      </c>
      <c r="H23" s="559">
        <f>IEPSGASINCREMENTO!H26</f>
        <v>318000.60136479972</v>
      </c>
      <c r="I23" s="559">
        <f>IEPSGASINCREMENTO!I26</f>
        <v>324630.46911921591</v>
      </c>
      <c r="J23" s="559">
        <f>IEPSGASINCREMENTO!J26</f>
        <v>324437.57077807706</v>
      </c>
      <c r="K23" s="559">
        <f>IEPSGASINCREMENTO!K26</f>
        <v>337616.08655797935</v>
      </c>
      <c r="L23" s="559">
        <f>IEPSGASINCREMENTO!L26</f>
        <v>334651.42983847664</v>
      </c>
      <c r="M23" s="559">
        <f>IEPSGASINCREMENTO!M26</f>
        <v>312761.68532029871</v>
      </c>
      <c r="N23" s="559">
        <f>IEPSGASINCREMENTO!N26</f>
        <v>322975.54438069829</v>
      </c>
      <c r="O23" s="560">
        <f t="shared" si="0"/>
        <v>3853954.6251885337</v>
      </c>
      <c r="P23" s="561"/>
    </row>
    <row r="24" spans="1:17" ht="13.5" thickBot="1" x14ac:dyDescent="0.25">
      <c r="A24" s="562" t="s">
        <v>280</v>
      </c>
      <c r="B24" s="563">
        <f t="shared" ref="B24:O24" si="1">SUM(B4:B23)</f>
        <v>0</v>
      </c>
      <c r="C24" s="564">
        <f t="shared" si="1"/>
        <v>5678340.3000000007</v>
      </c>
      <c r="D24" s="564">
        <f t="shared" si="1"/>
        <v>6243205.7249999996</v>
      </c>
      <c r="E24" s="564">
        <f t="shared" si="1"/>
        <v>6078405.1499999994</v>
      </c>
      <c r="F24" s="564">
        <f t="shared" si="1"/>
        <v>5663807.0999999996</v>
      </c>
      <c r="G24" s="564">
        <f t="shared" si="1"/>
        <v>6240705.9750000015</v>
      </c>
      <c r="H24" s="564">
        <f t="shared" si="1"/>
        <v>6023022.75</v>
      </c>
      <c r="I24" s="564">
        <f t="shared" si="1"/>
        <v>6148594.3500000015</v>
      </c>
      <c r="J24" s="564">
        <f t="shared" si="1"/>
        <v>6144940.7999999998</v>
      </c>
      <c r="K24" s="564">
        <f t="shared" si="1"/>
        <v>6394545.6750000007</v>
      </c>
      <c r="L24" s="564">
        <f t="shared" si="1"/>
        <v>6338394.2250000015</v>
      </c>
      <c r="M24" s="564">
        <f t="shared" si="1"/>
        <v>5923796.1749999998</v>
      </c>
      <c r="N24" s="564">
        <f t="shared" si="1"/>
        <v>6117249.6000000006</v>
      </c>
      <c r="O24" s="564">
        <f t="shared" si="1"/>
        <v>72995007.825000003</v>
      </c>
    </row>
    <row r="25" spans="1:17" x14ac:dyDescent="0.2">
      <c r="A25" s="566" t="s">
        <v>281</v>
      </c>
    </row>
  </sheetData>
  <mergeCells count="1">
    <mergeCell ref="A1:O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P25"/>
  <sheetViews>
    <sheetView workbookViewId="0">
      <selection sqref="A1:N1"/>
    </sheetView>
  </sheetViews>
  <sheetFormatPr baseColWidth="10" defaultRowHeight="12.75" x14ac:dyDescent="0.2"/>
  <cols>
    <col min="1" max="1" width="16.140625" style="552" customWidth="1"/>
    <col min="2" max="9" width="9.7109375" style="552" customWidth="1"/>
    <col min="10" max="10" width="11" style="552" customWidth="1"/>
    <col min="11" max="14" width="9.7109375" style="552" customWidth="1"/>
    <col min="15" max="16384" width="11.42578125" style="552"/>
  </cols>
  <sheetData>
    <row r="1" spans="1:16" x14ac:dyDescent="0.2">
      <c r="A1" s="1215" t="s">
        <v>497</v>
      </c>
      <c r="B1" s="1215"/>
      <c r="C1" s="1215"/>
      <c r="D1" s="1215"/>
      <c r="E1" s="1215"/>
      <c r="F1" s="1215"/>
      <c r="G1" s="1215"/>
      <c r="H1" s="1215"/>
      <c r="I1" s="1215"/>
      <c r="J1" s="1215"/>
      <c r="K1" s="1215"/>
      <c r="L1" s="1215"/>
      <c r="M1" s="1215"/>
      <c r="N1" s="1215"/>
    </row>
    <row r="2" spans="1:16" ht="13.5" thickBot="1" x14ac:dyDescent="0.25"/>
    <row r="3" spans="1:16" ht="28.5" customHeight="1" thickBot="1" x14ac:dyDescent="0.25">
      <c r="A3" s="847" t="s">
        <v>307</v>
      </c>
      <c r="B3" s="847" t="s">
        <v>1</v>
      </c>
      <c r="C3" s="849" t="s">
        <v>2</v>
      </c>
      <c r="D3" s="847" t="s">
        <v>3</v>
      </c>
      <c r="E3" s="849" t="s">
        <v>4</v>
      </c>
      <c r="F3" s="847" t="s">
        <v>5</v>
      </c>
      <c r="G3" s="847" t="s">
        <v>6</v>
      </c>
      <c r="H3" s="847" t="s">
        <v>7</v>
      </c>
      <c r="I3" s="849" t="s">
        <v>8</v>
      </c>
      <c r="J3" s="847" t="s">
        <v>9</v>
      </c>
      <c r="K3" s="849" t="s">
        <v>10</v>
      </c>
      <c r="L3" s="847" t="s">
        <v>11</v>
      </c>
      <c r="M3" s="847" t="s">
        <v>12</v>
      </c>
      <c r="N3" s="850" t="s">
        <v>165</v>
      </c>
    </row>
    <row r="4" spans="1:16" x14ac:dyDescent="0.2">
      <c r="A4" s="557" t="s">
        <v>274</v>
      </c>
      <c r="B4" s="559">
        <f>'FOFIR  INCREMENTO'!C7+'FOFIR ESTIMACIONES'!C7</f>
        <v>171359.08121489527</v>
      </c>
      <c r="C4" s="559">
        <f>'FOFIR  INCREMENTO'!D7+'FOFIR ESTIMACIONES'!D7</f>
        <v>121315.69529334345</v>
      </c>
      <c r="D4" s="559">
        <f>'FOFIR  INCREMENTO'!E7+'FOFIR ESTIMACIONES'!E7</f>
        <v>121315.69529334345</v>
      </c>
      <c r="E4" s="559">
        <f>'FOFIR  INCREMENTO'!F7+'FOFIR ESTIMACIONES'!F7</f>
        <v>207884.37389512954</v>
      </c>
      <c r="F4" s="559">
        <f>'FOFIR  INCREMENTO'!G7+'FOFIR ESTIMACIONES'!G7</f>
        <v>121315.69529334345</v>
      </c>
      <c r="G4" s="559">
        <f>'FOFIR  INCREMENTO'!H7+'FOFIR ESTIMACIONES'!H7</f>
        <v>121315.69529334345</v>
      </c>
      <c r="H4" s="559">
        <f>'FOFIR  INCREMENTO'!I7+'FOFIR ESTIMACIONES'!I7</f>
        <v>189597.21109486429</v>
      </c>
      <c r="I4" s="559">
        <f>'FOFIR  INCREMENTO'!J7+'FOFIR ESTIMACIONES'!J7</f>
        <v>121315.69529334347</v>
      </c>
      <c r="J4" s="559">
        <f>'FOFIR  INCREMENTO'!K7+'FOFIR ESTIMACIONES'!K7</f>
        <v>121315.69529334347</v>
      </c>
      <c r="K4" s="559">
        <f>'FOFIR  INCREMENTO'!L7+'FOFIR ESTIMACIONES'!L7</f>
        <v>177596.99287944025</v>
      </c>
      <c r="L4" s="559">
        <f>'FOFIR  INCREMENTO'!M7+'FOFIR ESTIMACIONES'!M7</f>
        <v>121315.69529334349</v>
      </c>
      <c r="M4" s="559">
        <f>'FOFIR  INCREMENTO'!N7+'FOFIR ESTIMACIONES'!N7</f>
        <v>121315.69529334349</v>
      </c>
      <c r="N4" s="560">
        <f t="shared" ref="N4:N24" si="0">SUM(B4:M4)</f>
        <v>1716963.2214310768</v>
      </c>
      <c r="P4" s="561"/>
    </row>
    <row r="5" spans="1:16" x14ac:dyDescent="0.2">
      <c r="A5" s="557" t="s">
        <v>144</v>
      </c>
      <c r="B5" s="559">
        <f>'FOFIR  INCREMENTO'!C8+'FOFIR ESTIMACIONES'!C8</f>
        <v>66631.747217059805</v>
      </c>
      <c r="C5" s="559">
        <f>'FOFIR  INCREMENTO'!D8+'FOFIR ESTIMACIONES'!D8</f>
        <v>49299.591256182226</v>
      </c>
      <c r="D5" s="559">
        <f>'FOFIR  INCREMENTO'!E8+'FOFIR ESTIMACIONES'!E8</f>
        <v>49299.591256182226</v>
      </c>
      <c r="E5" s="559">
        <f>'FOFIR  INCREMENTO'!F8+'FOFIR ESTIMACIONES'!F8</f>
        <v>79748.438698322236</v>
      </c>
      <c r="F5" s="559">
        <f>'FOFIR  INCREMENTO'!G8+'FOFIR ESTIMACIONES'!G8</f>
        <v>49299.591256182226</v>
      </c>
      <c r="G5" s="559">
        <f>'FOFIR  INCREMENTO'!H8+'FOFIR ESTIMACIONES'!H8</f>
        <v>49299.591256182226</v>
      </c>
      <c r="H5" s="559">
        <f>'FOFIR  INCREMENTO'!I8+'FOFIR ESTIMACIONES'!I8</f>
        <v>70222.737890846431</v>
      </c>
      <c r="I5" s="559">
        <f>'FOFIR  INCREMENTO'!J8+'FOFIR ESTIMACIONES'!J8</f>
        <v>49299.591256182233</v>
      </c>
      <c r="J5" s="559">
        <f>'FOFIR  INCREMENTO'!K8+'FOFIR ESTIMACIONES'!K8</f>
        <v>49299.591256182233</v>
      </c>
      <c r="K5" s="559">
        <f>'FOFIR  INCREMENTO'!L8+'FOFIR ESTIMACIONES'!L8</f>
        <v>68917.888211875077</v>
      </c>
      <c r="L5" s="559">
        <f>'FOFIR  INCREMENTO'!M8+'FOFIR ESTIMACIONES'!M8</f>
        <v>49299.591256182248</v>
      </c>
      <c r="M5" s="559">
        <f>'FOFIR  INCREMENTO'!N8+'FOFIR ESTIMACIONES'!N8</f>
        <v>49299.591256182248</v>
      </c>
      <c r="N5" s="560">
        <f t="shared" si="0"/>
        <v>679917.54206756153</v>
      </c>
      <c r="P5" s="561"/>
    </row>
    <row r="6" spans="1:16" x14ac:dyDescent="0.2">
      <c r="A6" s="557" t="s">
        <v>145</v>
      </c>
      <c r="B6" s="559">
        <f>'FOFIR  INCREMENTO'!C9+'FOFIR ESTIMACIONES'!C9</f>
        <v>47595.906582322408</v>
      </c>
      <c r="C6" s="559">
        <f>'FOFIR  INCREMENTO'!D9+'FOFIR ESTIMACIONES'!D9</f>
        <v>35987.413702039201</v>
      </c>
      <c r="D6" s="559">
        <f>'FOFIR  INCREMENTO'!E9+'FOFIR ESTIMACIONES'!E9</f>
        <v>35987.413702039201</v>
      </c>
      <c r="E6" s="559">
        <f>'FOFIR  INCREMENTO'!F9+'FOFIR ESTIMACIONES'!F9</f>
        <v>56571.122858024573</v>
      </c>
      <c r="F6" s="559">
        <f>'FOFIR  INCREMENTO'!G9+'FOFIR ESTIMACIONES'!G9</f>
        <v>35987.413702039201</v>
      </c>
      <c r="G6" s="559">
        <f>'FOFIR  INCREMENTO'!H9+'FOFIR ESTIMACIONES'!H9</f>
        <v>35987.413702039201</v>
      </c>
      <c r="H6" s="559">
        <f>'FOFIR  INCREMENTO'!I9+'FOFIR ESTIMACIONES'!I9</f>
        <v>48890.151897286669</v>
      </c>
      <c r="I6" s="559">
        <f>'FOFIR  INCREMENTO'!J9+'FOFIR ESTIMACIONES'!J9</f>
        <v>35987.413702039208</v>
      </c>
      <c r="J6" s="559">
        <f>'FOFIR  INCREMENTO'!K9+'FOFIR ESTIMACIONES'!K9</f>
        <v>35987.413702039208</v>
      </c>
      <c r="K6" s="559">
        <f>'FOFIR  INCREMENTO'!L9+'FOFIR ESTIMACIONES'!L9</f>
        <v>49178.312019794874</v>
      </c>
      <c r="L6" s="559">
        <f>'FOFIR  INCREMENTO'!M9+'FOFIR ESTIMACIONES'!M9</f>
        <v>35987.413702039215</v>
      </c>
      <c r="M6" s="559">
        <f>'FOFIR  INCREMENTO'!N9+'FOFIR ESTIMACIONES'!N9</f>
        <v>35987.413702039215</v>
      </c>
      <c r="N6" s="560">
        <f t="shared" si="0"/>
        <v>490134.80297374219</v>
      </c>
      <c r="P6" s="561"/>
    </row>
    <row r="7" spans="1:16" x14ac:dyDescent="0.2">
      <c r="A7" s="557" t="s">
        <v>275</v>
      </c>
      <c r="B7" s="559">
        <f>'FOFIR  INCREMENTO'!C10+'FOFIR ESTIMACIONES'!C10</f>
        <v>2508816.4869798641</v>
      </c>
      <c r="C7" s="559">
        <f>'FOFIR  INCREMENTO'!D10+'FOFIR ESTIMACIONES'!D10</f>
        <v>434345.34326846106</v>
      </c>
      <c r="D7" s="559">
        <f>'FOFIR  INCREMENTO'!E10+'FOFIR ESTIMACIONES'!E10</f>
        <v>434345.34326846106</v>
      </c>
      <c r="E7" s="559">
        <f>'FOFIR  INCREMENTO'!F10+'FOFIR ESTIMACIONES'!F10</f>
        <v>3728654.1818764121</v>
      </c>
      <c r="F7" s="559">
        <f>'FOFIR  INCREMENTO'!G10+'FOFIR ESTIMACIONES'!G10</f>
        <v>434345.34326846106</v>
      </c>
      <c r="G7" s="559">
        <f>'FOFIR  INCREMENTO'!H10+'FOFIR ESTIMACIONES'!H10</f>
        <v>434345.34326846106</v>
      </c>
      <c r="H7" s="559">
        <f>'FOFIR  INCREMENTO'!I10+'FOFIR ESTIMACIONES'!I10</f>
        <v>4984422.1398429703</v>
      </c>
      <c r="I7" s="559">
        <f>'FOFIR  INCREMENTO'!J10+'FOFIR ESTIMACIONES'!J10</f>
        <v>434345.34326846094</v>
      </c>
      <c r="J7" s="559">
        <f>'FOFIR  INCREMENTO'!K10+'FOFIR ESTIMACIONES'!K10</f>
        <v>434345.34326846094</v>
      </c>
      <c r="K7" s="559">
        <f>'FOFIR  INCREMENTO'!L10+'FOFIR ESTIMACIONES'!L10</f>
        <v>2688105.7259700056</v>
      </c>
      <c r="L7" s="559">
        <f>'FOFIR  INCREMENTO'!M10+'FOFIR ESTIMACIONES'!M10</f>
        <v>434345.34326846089</v>
      </c>
      <c r="M7" s="559">
        <f>'FOFIR  INCREMENTO'!N10+'FOFIR ESTIMACIONES'!N10</f>
        <v>434345.34326846089</v>
      </c>
      <c r="N7" s="560">
        <f t="shared" si="0"/>
        <v>17384761.280816942</v>
      </c>
      <c r="P7" s="561"/>
    </row>
    <row r="8" spans="1:16" x14ac:dyDescent="0.2">
      <c r="A8" s="557" t="s">
        <v>147</v>
      </c>
      <c r="B8" s="559">
        <f>'FOFIR  INCREMENTO'!C11+'FOFIR ESTIMACIONES'!C11</f>
        <v>455796.81570416375</v>
      </c>
      <c r="C8" s="559">
        <f>'FOFIR  INCREMENTO'!D11+'FOFIR ESTIMACIONES'!D11</f>
        <v>230104.60717451986</v>
      </c>
      <c r="D8" s="559">
        <f>'FOFIR  INCREMENTO'!E11+'FOFIR ESTIMACIONES'!E11</f>
        <v>230104.60717451986</v>
      </c>
      <c r="E8" s="559">
        <f>'FOFIR  INCREMENTO'!F11+'FOFIR ESTIMACIONES'!F11</f>
        <v>600219.75813907862</v>
      </c>
      <c r="F8" s="559">
        <f>'FOFIR  INCREMENTO'!G11+'FOFIR ESTIMACIONES'!G11</f>
        <v>230104.60717451986</v>
      </c>
      <c r="G8" s="559">
        <f>'FOFIR  INCREMENTO'!H11+'FOFIR ESTIMACIONES'!H11</f>
        <v>230104.60717451986</v>
      </c>
      <c r="H8" s="559">
        <f>'FOFIR  INCREMENTO'!I11+'FOFIR ESTIMACIONES'!I11</f>
        <v>656697.29020691838</v>
      </c>
      <c r="I8" s="559">
        <f>'FOFIR  INCREMENTO'!J11+'FOFIR ESTIMACIONES'!J11</f>
        <v>230104.60717451992</v>
      </c>
      <c r="J8" s="559">
        <f>'FOFIR  INCREMENTO'!K11+'FOFIR ESTIMACIONES'!K11</f>
        <v>230104.60717451992</v>
      </c>
      <c r="K8" s="559">
        <f>'FOFIR  INCREMENTO'!L11+'FOFIR ESTIMACIONES'!L11</f>
        <v>478458.22281362256</v>
      </c>
      <c r="L8" s="559">
        <f>'FOFIR  INCREMENTO'!M11+'FOFIR ESTIMACIONES'!M11</f>
        <v>230104.60717451994</v>
      </c>
      <c r="M8" s="559">
        <f>'FOFIR  INCREMENTO'!N11+'FOFIR ESTIMACIONES'!N11</f>
        <v>230104.60717451994</v>
      </c>
      <c r="N8" s="560">
        <f t="shared" si="0"/>
        <v>4032008.9442599425</v>
      </c>
      <c r="P8" s="561"/>
    </row>
    <row r="9" spans="1:16" x14ac:dyDescent="0.2">
      <c r="A9" s="557" t="s">
        <v>276</v>
      </c>
      <c r="B9" s="559">
        <f>'FOFIR  INCREMENTO'!C12+'FOFIR ESTIMACIONES'!C12</f>
        <v>136258.57941774503</v>
      </c>
      <c r="C9" s="559">
        <f>'FOFIR  INCREMENTO'!D12+'FOFIR ESTIMACIONES'!D12</f>
        <v>106018.51573686852</v>
      </c>
      <c r="D9" s="559">
        <f>'FOFIR  INCREMENTO'!E12+'FOFIR ESTIMACIONES'!E12</f>
        <v>106018.51573686852</v>
      </c>
      <c r="E9" s="559">
        <f>'FOFIR  INCREMENTO'!F12+'FOFIR ESTIMACIONES'!F12</f>
        <v>160424.89896061429</v>
      </c>
      <c r="F9" s="559">
        <f>'FOFIR  INCREMENTO'!G12+'FOFIR ESTIMACIONES'!G12</f>
        <v>106018.51573686852</v>
      </c>
      <c r="G9" s="559">
        <f>'FOFIR  INCREMENTO'!H12+'FOFIR ESTIMACIONES'!H12</f>
        <v>106018.51573686852</v>
      </c>
      <c r="H9" s="559">
        <f>'FOFIR  INCREMENTO'!I12+'FOFIR ESTIMACIONES'!I12</f>
        <v>135037.37053967261</v>
      </c>
      <c r="I9" s="559">
        <f>'FOFIR  INCREMENTO'!J12+'FOFIR ESTIMACIONES'!J12</f>
        <v>106018.51573686853</v>
      </c>
      <c r="J9" s="559">
        <f>'FOFIR  INCREMENTO'!K12+'FOFIR ESTIMACIONES'!K12</f>
        <v>106018.51573686853</v>
      </c>
      <c r="K9" s="559">
        <f>'FOFIR  INCREMENTO'!L12+'FOFIR ESTIMACIONES'!L12</f>
        <v>140592.51867068736</v>
      </c>
      <c r="L9" s="559">
        <f>'FOFIR  INCREMENTO'!M12+'FOFIR ESTIMACIONES'!M12</f>
        <v>106018.51573686856</v>
      </c>
      <c r="M9" s="559">
        <f>'FOFIR  INCREMENTO'!N12+'FOFIR ESTIMACIONES'!N12</f>
        <v>106018.51573686856</v>
      </c>
      <c r="N9" s="560">
        <f t="shared" si="0"/>
        <v>1420461.4934836677</v>
      </c>
      <c r="P9" s="561"/>
    </row>
    <row r="10" spans="1:16" x14ac:dyDescent="0.2">
      <c r="A10" s="557" t="s">
        <v>149</v>
      </c>
      <c r="B10" s="559">
        <f>'FOFIR  INCREMENTO'!C13+'FOFIR ESTIMACIONES'!C13</f>
        <v>46993.118845091369</v>
      </c>
      <c r="C10" s="559">
        <f>'FOFIR  INCREMENTO'!D13+'FOFIR ESTIMACIONES'!D13</f>
        <v>36548.237881491979</v>
      </c>
      <c r="D10" s="559">
        <f>'FOFIR  INCREMENTO'!E13+'FOFIR ESTIMACIONES'!E13</f>
        <v>36548.237881491979</v>
      </c>
      <c r="E10" s="559">
        <f>'FOFIR  INCREMENTO'!F13+'FOFIR ESTIMACIONES'!F13</f>
        <v>55335.625483077471</v>
      </c>
      <c r="F10" s="559">
        <f>'FOFIR  INCREMENTO'!G13+'FOFIR ESTIMACIONES'!G13</f>
        <v>36548.237881491979</v>
      </c>
      <c r="G10" s="559">
        <f>'FOFIR  INCREMENTO'!H13+'FOFIR ESTIMACIONES'!H13</f>
        <v>36548.237881491979</v>
      </c>
      <c r="H10" s="559">
        <f>'FOFIR  INCREMENTO'!I13+'FOFIR ESTIMACIONES'!I13</f>
        <v>46597.672941534584</v>
      </c>
      <c r="I10" s="559">
        <f>'FOFIR  INCREMENTO'!J13+'FOFIR ESTIMACIONES'!J13</f>
        <v>36548.237881491979</v>
      </c>
      <c r="J10" s="559">
        <f>'FOFIR  INCREMENTO'!K13+'FOFIR ESTIMACIONES'!K13</f>
        <v>36548.237881491979</v>
      </c>
      <c r="K10" s="559">
        <f>'FOFIR  INCREMENTO'!L13+'FOFIR ESTIMACIONES'!L13</f>
        <v>48488.840716193874</v>
      </c>
      <c r="L10" s="559">
        <f>'FOFIR  INCREMENTO'!M13+'FOFIR ESTIMACIONES'!M13</f>
        <v>36548.237881491994</v>
      </c>
      <c r="M10" s="559">
        <f>'FOFIR  INCREMENTO'!N13+'FOFIR ESTIMACIONES'!N13</f>
        <v>36548.237881491994</v>
      </c>
      <c r="N10" s="560">
        <f t="shared" si="0"/>
        <v>489801.16103783331</v>
      </c>
      <c r="P10" s="561"/>
    </row>
    <row r="11" spans="1:16" x14ac:dyDescent="0.2">
      <c r="A11" s="557" t="s">
        <v>150</v>
      </c>
      <c r="B11" s="559">
        <f>'FOFIR  INCREMENTO'!C14+'FOFIR ESTIMACIONES'!C14</f>
        <v>128551.47956490165</v>
      </c>
      <c r="C11" s="559">
        <f>'FOFIR  INCREMENTO'!D14+'FOFIR ESTIMACIONES'!D14</f>
        <v>90161.939951011052</v>
      </c>
      <c r="D11" s="559">
        <f>'FOFIR  INCREMENTO'!E14+'FOFIR ESTIMACIONES'!E14</f>
        <v>90161.939951011052</v>
      </c>
      <c r="E11" s="559">
        <f>'FOFIR  INCREMENTO'!F14+'FOFIR ESTIMACIONES'!F14</f>
        <v>156385.0669761544</v>
      </c>
      <c r="F11" s="559">
        <f>'FOFIR  INCREMENTO'!G14+'FOFIR ESTIMACIONES'!G14</f>
        <v>90161.939951011052</v>
      </c>
      <c r="G11" s="559">
        <f>'FOFIR  INCREMENTO'!H14+'FOFIR ESTIMACIONES'!H14</f>
        <v>90161.939951011052</v>
      </c>
      <c r="H11" s="559">
        <f>'FOFIR  INCREMENTO'!I14+'FOFIR ESTIMACIONES'!I14</f>
        <v>143628.64846621774</v>
      </c>
      <c r="I11" s="559">
        <f>'FOFIR  INCREMENTO'!J14+'FOFIR ESTIMACIONES'!J14</f>
        <v>90161.939951011067</v>
      </c>
      <c r="J11" s="559">
        <f>'FOFIR  INCREMENTO'!K14+'FOFIR ESTIMACIONES'!K14</f>
        <v>90161.939951011067</v>
      </c>
      <c r="K11" s="559">
        <f>'FOFIR  INCREMENTO'!L14+'FOFIR ESTIMACIONES'!L14</f>
        <v>133286.64918482065</v>
      </c>
      <c r="L11" s="559">
        <f>'FOFIR  INCREMENTO'!M14+'FOFIR ESTIMACIONES'!M14</f>
        <v>90161.939951011096</v>
      </c>
      <c r="M11" s="559">
        <f>'FOFIR  INCREMENTO'!N14+'FOFIR ESTIMACIONES'!N14</f>
        <v>90161.939951011096</v>
      </c>
      <c r="N11" s="560">
        <f t="shared" si="0"/>
        <v>1283147.3638001829</v>
      </c>
      <c r="P11" s="561"/>
    </row>
    <row r="12" spans="1:16" x14ac:dyDescent="0.2">
      <c r="A12" s="557" t="s">
        <v>151</v>
      </c>
      <c r="B12" s="559">
        <f>'FOFIR  INCREMENTO'!C15+'FOFIR ESTIMACIONES'!C15</f>
        <v>74319.699195762849</v>
      </c>
      <c r="C12" s="559">
        <f>'FOFIR  INCREMENTO'!D15+'FOFIR ESTIMACIONES'!D15</f>
        <v>55832.333078655553</v>
      </c>
      <c r="D12" s="559">
        <f>'FOFIR  INCREMENTO'!E15+'FOFIR ESTIMACIONES'!E15</f>
        <v>55832.333078655553</v>
      </c>
      <c r="E12" s="559">
        <f>'FOFIR  INCREMENTO'!F15+'FOFIR ESTIMACIONES'!F15</f>
        <v>88518.580081544438</v>
      </c>
      <c r="F12" s="559">
        <f>'FOFIR  INCREMENTO'!G15+'FOFIR ESTIMACIONES'!G15</f>
        <v>55832.333078655553</v>
      </c>
      <c r="G12" s="559">
        <f>'FOFIR  INCREMENTO'!H15+'FOFIR ESTIMACIONES'!H15</f>
        <v>55832.333078655553</v>
      </c>
      <c r="H12" s="559">
        <f>'FOFIR  INCREMENTO'!I15+'FOFIR ESTIMACIONES'!I15</f>
        <v>76934.867919412412</v>
      </c>
      <c r="I12" s="559">
        <f>'FOFIR  INCREMENTO'!J15+'FOFIR ESTIMACIONES'!J15</f>
        <v>55832.33307865556</v>
      </c>
      <c r="J12" s="559">
        <f>'FOFIR  INCREMENTO'!K15+'FOFIR ESTIMACIONES'!K15</f>
        <v>55832.33307865556</v>
      </c>
      <c r="K12" s="559">
        <f>'FOFIR  INCREMENTO'!L15+'FOFIR ESTIMACIONES'!L15</f>
        <v>76814.248704033278</v>
      </c>
      <c r="L12" s="559">
        <f>'FOFIR  INCREMENTO'!M15+'FOFIR ESTIMACIONES'!M15</f>
        <v>55832.333078655574</v>
      </c>
      <c r="M12" s="559">
        <f>'FOFIR  INCREMENTO'!N15+'FOFIR ESTIMACIONES'!N15</f>
        <v>55832.333078655574</v>
      </c>
      <c r="N12" s="560">
        <f t="shared" si="0"/>
        <v>763246.06052999734</v>
      </c>
      <c r="P12" s="561"/>
    </row>
    <row r="13" spans="1:16" x14ac:dyDescent="0.2">
      <c r="A13" s="557" t="s">
        <v>152</v>
      </c>
      <c r="B13" s="559">
        <f>'FOFIR  INCREMENTO'!C16+'FOFIR ESTIMACIONES'!C16</f>
        <v>54168.883091241369</v>
      </c>
      <c r="C13" s="559">
        <f>'FOFIR  INCREMENTO'!D16+'FOFIR ESTIMACIONES'!D16</f>
        <v>41843.547450973027</v>
      </c>
      <c r="D13" s="559">
        <f>'FOFIR  INCREMENTO'!E16+'FOFIR ESTIMACIONES'!E16</f>
        <v>41843.547450973027</v>
      </c>
      <c r="E13" s="559">
        <f>'FOFIR  INCREMENTO'!F16+'FOFIR ESTIMACIONES'!F16</f>
        <v>63931.063380219719</v>
      </c>
      <c r="F13" s="559">
        <f>'FOFIR  INCREMENTO'!G16+'FOFIR ESTIMACIONES'!G16</f>
        <v>41843.547450973027</v>
      </c>
      <c r="G13" s="559">
        <f>'FOFIR  INCREMENTO'!H16+'FOFIR ESTIMACIONES'!H16</f>
        <v>41843.547450973027</v>
      </c>
      <c r="H13" s="559">
        <f>'FOFIR  INCREMENTO'!I16+'FOFIR ESTIMACIONES'!I16</f>
        <v>54183.04876187905</v>
      </c>
      <c r="I13" s="559">
        <f>'FOFIR  INCREMENTO'!J16+'FOFIR ESTIMACIONES'!J16</f>
        <v>41843.547450973034</v>
      </c>
      <c r="J13" s="559">
        <f>'FOFIR  INCREMENTO'!K16+'FOFIR ESTIMACIONES'!K16</f>
        <v>41843.547450973034</v>
      </c>
      <c r="K13" s="559">
        <f>'FOFIR  INCREMENTO'!L16+'FOFIR ESTIMACIONES'!L16</f>
        <v>55911.71759700642</v>
      </c>
      <c r="L13" s="559">
        <f>'FOFIR  INCREMENTO'!M16+'FOFIR ESTIMACIONES'!M16</f>
        <v>41843.547450973048</v>
      </c>
      <c r="M13" s="559">
        <f>'FOFIR  INCREMENTO'!N16+'FOFIR ESTIMACIONES'!N16</f>
        <v>41843.547450973048</v>
      </c>
      <c r="N13" s="560">
        <f t="shared" si="0"/>
        <v>562943.09243813076</v>
      </c>
      <c r="P13" s="561"/>
    </row>
    <row r="14" spans="1:16" x14ac:dyDescent="0.2">
      <c r="A14" s="557" t="s">
        <v>153</v>
      </c>
      <c r="B14" s="559">
        <f>'FOFIR  INCREMENTO'!C17+'FOFIR ESTIMACIONES'!C17</f>
        <v>146440.72375188349</v>
      </c>
      <c r="C14" s="559">
        <f>'FOFIR  INCREMENTO'!D17+'FOFIR ESTIMACIONES'!D17</f>
        <v>111817.19417375649</v>
      </c>
      <c r="D14" s="559">
        <f>'FOFIR  INCREMENTO'!E17+'FOFIR ESTIMACIONES'!E17</f>
        <v>111817.19417375649</v>
      </c>
      <c r="E14" s="559">
        <f>'FOFIR  INCREMENTO'!F17+'FOFIR ESTIMACIONES'!F17</f>
        <v>173497.22035605164</v>
      </c>
      <c r="F14" s="559">
        <f>'FOFIR  INCREMENTO'!G17+'FOFIR ESTIMACIONES'!G17</f>
        <v>111817.19417375649</v>
      </c>
      <c r="G14" s="559">
        <f>'FOFIR  INCREMENTO'!H17+'FOFIR ESTIMACIONES'!H17</f>
        <v>111817.19417375649</v>
      </c>
      <c r="H14" s="559">
        <f>'FOFIR  INCREMENTO'!I17+'FOFIR ESTIMACIONES'!I17</f>
        <v>148623.88588868879</v>
      </c>
      <c r="I14" s="559">
        <f>'FOFIR  INCREMENTO'!J17+'FOFIR ESTIMACIONES'!J17</f>
        <v>111817.19417375651</v>
      </c>
      <c r="J14" s="559">
        <f>'FOFIR  INCREMENTO'!K17+'FOFIR ESTIMACIONES'!K17</f>
        <v>111817.19417375651</v>
      </c>
      <c r="K14" s="559">
        <f>'FOFIR  INCREMENTO'!L17+'FOFIR ESTIMACIONES'!L17</f>
        <v>151237.74480244901</v>
      </c>
      <c r="L14" s="559">
        <f>'FOFIR  INCREMENTO'!M17+'FOFIR ESTIMACIONES'!M17</f>
        <v>111817.19417375654</v>
      </c>
      <c r="M14" s="559">
        <f>'FOFIR  INCREMENTO'!N17+'FOFIR ESTIMACIONES'!N17</f>
        <v>111817.19417375654</v>
      </c>
      <c r="N14" s="560">
        <f t="shared" si="0"/>
        <v>1514337.1281891251</v>
      </c>
      <c r="P14" s="561"/>
    </row>
    <row r="15" spans="1:16" x14ac:dyDescent="0.2">
      <c r="A15" s="557" t="s">
        <v>154</v>
      </c>
      <c r="B15" s="559">
        <f>'FOFIR  INCREMENTO'!C18+'FOFIR ESTIMACIONES'!C18</f>
        <v>95472.271252553721</v>
      </c>
      <c r="C15" s="559">
        <f>'FOFIR  INCREMENTO'!D18+'FOFIR ESTIMACIONES'!D18</f>
        <v>72895.912977441389</v>
      </c>
      <c r="D15" s="559">
        <f>'FOFIR  INCREMENTO'!E18+'FOFIR ESTIMACIONES'!E18</f>
        <v>72895.912977441389</v>
      </c>
      <c r="E15" s="559">
        <f>'FOFIR  INCREMENTO'!F18+'FOFIR ESTIMACIONES'!F18</f>
        <v>113113.5812579114</v>
      </c>
      <c r="F15" s="559">
        <f>'FOFIR  INCREMENTO'!G18+'FOFIR ESTIMACIONES'!G18</f>
        <v>72895.912977441389</v>
      </c>
      <c r="G15" s="559">
        <f>'FOFIR  INCREMENTO'!H18+'FOFIR ESTIMACIONES'!H18</f>
        <v>72895.912977441389</v>
      </c>
      <c r="H15" s="559">
        <f>'FOFIR  INCREMENTO'!I18+'FOFIR ESTIMACIONES'!I18</f>
        <v>96901.333695793292</v>
      </c>
      <c r="I15" s="559">
        <f>'FOFIR  INCREMENTO'!J18+'FOFIR ESTIMACIONES'!J18</f>
        <v>72895.912977441403</v>
      </c>
      <c r="J15" s="559">
        <f>'FOFIR  INCREMENTO'!K18+'FOFIR ESTIMACIONES'!K18</f>
        <v>72895.912977441403</v>
      </c>
      <c r="K15" s="559">
        <f>'FOFIR  INCREMENTO'!L18+'FOFIR ESTIMACIONES'!L18</f>
        <v>98599.925892901214</v>
      </c>
      <c r="L15" s="559">
        <f>'FOFIR  INCREMENTO'!M18+'FOFIR ESTIMACIONES'!M18</f>
        <v>72895.912977441418</v>
      </c>
      <c r="M15" s="559">
        <f>'FOFIR  INCREMENTO'!N18+'FOFIR ESTIMACIONES'!N18</f>
        <v>72895.912977441418</v>
      </c>
      <c r="N15" s="560">
        <f t="shared" si="0"/>
        <v>987254.41591869097</v>
      </c>
      <c r="P15" s="561"/>
    </row>
    <row r="16" spans="1:16" x14ac:dyDescent="0.2">
      <c r="A16" s="557" t="s">
        <v>155</v>
      </c>
      <c r="B16" s="559">
        <f>'FOFIR  INCREMENTO'!C19+'FOFIR ESTIMACIONES'!C19</f>
        <v>179153.42329322998</v>
      </c>
      <c r="C16" s="559">
        <f>'FOFIR  INCREMENTO'!D19+'FOFIR ESTIMACIONES'!D19</f>
        <v>130862.88026015983</v>
      </c>
      <c r="D16" s="559">
        <f>'FOFIR  INCREMENTO'!E19+'FOFIR ESTIMACIONES'!E19</f>
        <v>130862.88026015983</v>
      </c>
      <c r="E16" s="559">
        <f>'FOFIR  INCREMENTO'!F19+'FOFIR ESTIMACIONES'!F19</f>
        <v>215282.95760881843</v>
      </c>
      <c r="F16" s="559">
        <f>'FOFIR  INCREMENTO'!G19+'FOFIR ESTIMACIONES'!G19</f>
        <v>130862.88026015983</v>
      </c>
      <c r="G16" s="559">
        <f>'FOFIR  INCREMENTO'!H19+'FOFIR ESTIMACIONES'!H19</f>
        <v>130862.88026015983</v>
      </c>
      <c r="H16" s="559">
        <f>'FOFIR  INCREMENTO'!I19+'FOFIR ESTIMACIONES'!I19</f>
        <v>191589.29716720211</v>
      </c>
      <c r="I16" s="559">
        <f>'FOFIR  INCREMENTO'!J19+'FOFIR ESTIMACIONES'!J19</f>
        <v>130862.88026015984</v>
      </c>
      <c r="J16" s="559">
        <f>'FOFIR  INCREMENTO'!K19+'FOFIR ESTIMACIONES'!K19</f>
        <v>130862.88026015984</v>
      </c>
      <c r="K16" s="559">
        <f>'FOFIR  INCREMENTO'!L19+'FOFIR ESTIMACIONES'!L19</f>
        <v>185410.94193430946</v>
      </c>
      <c r="L16" s="559">
        <f>'FOFIR  INCREMENTO'!M19+'FOFIR ESTIMACIONES'!M19</f>
        <v>130862.88026015987</v>
      </c>
      <c r="M16" s="559">
        <f>'FOFIR  INCREMENTO'!N19+'FOFIR ESTIMACIONES'!N19</f>
        <v>130862.88026015987</v>
      </c>
      <c r="N16" s="560">
        <f t="shared" si="0"/>
        <v>1818339.6620848388</v>
      </c>
      <c r="P16" s="561"/>
    </row>
    <row r="17" spans="1:16" x14ac:dyDescent="0.2">
      <c r="A17" s="557" t="s">
        <v>277</v>
      </c>
      <c r="B17" s="559">
        <f>'FOFIR  INCREMENTO'!C20+'FOFIR ESTIMACIONES'!C20</f>
        <v>32272.867272943848</v>
      </c>
      <c r="C17" s="559">
        <f>'FOFIR  INCREMENTO'!D20+'FOFIR ESTIMACIONES'!D20</f>
        <v>24729.856562855155</v>
      </c>
      <c r="D17" s="559">
        <f>'FOFIR  INCREMENTO'!E20+'FOFIR ESTIMACIONES'!E20</f>
        <v>24729.856562855155</v>
      </c>
      <c r="E17" s="559">
        <f>'FOFIR  INCREMENTO'!F20+'FOFIR ESTIMACIONES'!F20</f>
        <v>38191.010406066292</v>
      </c>
      <c r="F17" s="559">
        <f>'FOFIR  INCREMENTO'!G20+'FOFIR ESTIMACIONES'!G20</f>
        <v>24729.856562855155</v>
      </c>
      <c r="G17" s="559">
        <f>'FOFIR  INCREMENTO'!H20+'FOFIR ESTIMACIONES'!H20</f>
        <v>24729.856562855155</v>
      </c>
      <c r="H17" s="559">
        <f>'FOFIR  INCREMENTO'!I20+'FOFIR ESTIMACIONES'!I20</f>
        <v>32610.16295702774</v>
      </c>
      <c r="I17" s="559">
        <f>'FOFIR  INCREMENTO'!J20+'FOFIR ESTIMACIONES'!J20</f>
        <v>24729.856562855159</v>
      </c>
      <c r="J17" s="559">
        <f>'FOFIR  INCREMENTO'!K20+'FOFIR ESTIMACIONES'!K20</f>
        <v>24729.856562855159</v>
      </c>
      <c r="K17" s="559">
        <f>'FOFIR  INCREMENTO'!L20+'FOFIR ESTIMACIONES'!L20</f>
        <v>33324.314820929256</v>
      </c>
      <c r="L17" s="559">
        <f>'FOFIR  INCREMENTO'!M20+'FOFIR ESTIMACIONES'!M20</f>
        <v>24729.856562855166</v>
      </c>
      <c r="M17" s="559">
        <f>'FOFIR  INCREMENTO'!N20+'FOFIR ESTIMACIONES'!N20</f>
        <v>24729.856562855166</v>
      </c>
      <c r="N17" s="560">
        <f t="shared" si="0"/>
        <v>334237.20795980841</v>
      </c>
      <c r="P17" s="561"/>
    </row>
    <row r="18" spans="1:16" x14ac:dyDescent="0.2">
      <c r="A18" s="557" t="s">
        <v>278</v>
      </c>
      <c r="B18" s="559">
        <f>'FOFIR  INCREMENTO'!C21+'FOFIR ESTIMACIONES'!C21</f>
        <v>100163.56923946695</v>
      </c>
      <c r="C18" s="559">
        <f>'FOFIR  INCREMENTO'!D21+'FOFIR ESTIMACIONES'!D21</f>
        <v>75317.215061648894</v>
      </c>
      <c r="D18" s="559">
        <f>'FOFIR  INCREMENTO'!E21+'FOFIR ESTIMACIONES'!E21</f>
        <v>75317.215061648894</v>
      </c>
      <c r="E18" s="559">
        <f>'FOFIR  INCREMENTO'!F21+'FOFIR ESTIMACIONES'!F21</f>
        <v>119264.32286495951</v>
      </c>
      <c r="F18" s="559">
        <f>'FOFIR  INCREMENTO'!G21+'FOFIR ESTIMACIONES'!G21</f>
        <v>75317.215061648894</v>
      </c>
      <c r="G18" s="559">
        <f>'FOFIR  INCREMENTO'!H21+'FOFIR ESTIMACIONES'!H21</f>
        <v>75317.215061648894</v>
      </c>
      <c r="H18" s="559">
        <f>'FOFIR  INCREMENTO'!I21+'FOFIR ESTIMACIONES'!I21</f>
        <v>103573.2559156074</v>
      </c>
      <c r="I18" s="559">
        <f>'FOFIR  INCREMENTO'!J21+'FOFIR ESTIMACIONES'!J21</f>
        <v>75317.215061648909</v>
      </c>
      <c r="J18" s="559">
        <f>'FOFIR  INCREMENTO'!K21+'FOFIR ESTIMACIONES'!K21</f>
        <v>75317.215061648909</v>
      </c>
      <c r="K18" s="559">
        <f>'FOFIR  INCREMENTO'!L21+'FOFIR ESTIMACIONES'!L21</f>
        <v>103520.99601136769</v>
      </c>
      <c r="L18" s="559">
        <f>'FOFIR  INCREMENTO'!M21+'FOFIR ESTIMACIONES'!M21</f>
        <v>75317.215061648923</v>
      </c>
      <c r="M18" s="559">
        <f>'FOFIR  INCREMENTO'!N21+'FOFIR ESTIMACIONES'!N21</f>
        <v>75317.215061648923</v>
      </c>
      <c r="N18" s="560">
        <f t="shared" si="0"/>
        <v>1029059.8645245926</v>
      </c>
      <c r="P18" s="561"/>
    </row>
    <row r="19" spans="1:16" x14ac:dyDescent="0.2">
      <c r="A19" s="557" t="s">
        <v>279</v>
      </c>
      <c r="B19" s="559">
        <f>'FOFIR  INCREMENTO'!C22+'FOFIR ESTIMACIONES'!C22</f>
        <v>457808.07437352475</v>
      </c>
      <c r="C19" s="559">
        <f>'FOFIR  INCREMENTO'!D22+'FOFIR ESTIMACIONES'!D22</f>
        <v>297903.79468873632</v>
      </c>
      <c r="D19" s="559">
        <f>'FOFIR  INCREMENTO'!E22+'FOFIR ESTIMACIONES'!E22</f>
        <v>297903.79468873632</v>
      </c>
      <c r="E19" s="559">
        <f>'FOFIR  INCREMENTO'!F22+'FOFIR ESTIMACIONES'!F22</f>
        <v>568770.5556154059</v>
      </c>
      <c r="F19" s="559">
        <f>'FOFIR  INCREMENTO'!G22+'FOFIR ESTIMACIONES'!G22</f>
        <v>297903.79468873632</v>
      </c>
      <c r="G19" s="559">
        <f>'FOFIR  INCREMENTO'!H22+'FOFIR ESTIMACIONES'!H22</f>
        <v>297903.79468873632</v>
      </c>
      <c r="H19" s="559">
        <f>'FOFIR  INCREMENTO'!I22+'FOFIR ESTIMACIONES'!I22</f>
        <v>549669.76187878801</v>
      </c>
      <c r="I19" s="559">
        <f>'FOFIR  INCREMENTO'!J22+'FOFIR ESTIMACIONES'!J22</f>
        <v>297903.79468873626</v>
      </c>
      <c r="J19" s="559">
        <f>'FOFIR  INCREMENTO'!K22+'FOFIR ESTIMACIONES'!K22</f>
        <v>297903.79468873626</v>
      </c>
      <c r="K19" s="559">
        <f>'FOFIR  INCREMENTO'!L22+'FOFIR ESTIMACIONES'!L22</f>
        <v>476191.45958928589</v>
      </c>
      <c r="L19" s="559">
        <f>'FOFIR  INCREMENTO'!M22+'FOFIR ESTIMACIONES'!M22</f>
        <v>297903.79468873638</v>
      </c>
      <c r="M19" s="559">
        <f>'FOFIR  INCREMENTO'!N22+'FOFIR ESTIMACIONES'!N22</f>
        <v>297903.79468873638</v>
      </c>
      <c r="N19" s="560">
        <f t="shared" si="0"/>
        <v>4435670.208966895</v>
      </c>
      <c r="P19" s="561"/>
    </row>
    <row r="20" spans="1:16" x14ac:dyDescent="0.2">
      <c r="A20" s="557" t="s">
        <v>159</v>
      </c>
      <c r="B20" s="559">
        <f>'FOFIR  INCREMENTO'!C23+'FOFIR ESTIMACIONES'!C23</f>
        <v>178925.9129066437</v>
      </c>
      <c r="C20" s="559">
        <f>'FOFIR  INCREMENTO'!D23+'FOFIR ESTIMACIONES'!D23</f>
        <v>129945.3635669644</v>
      </c>
      <c r="D20" s="559">
        <f>'FOFIR  INCREMENTO'!E23+'FOFIR ESTIMACIONES'!E23</f>
        <v>129945.3635669644</v>
      </c>
      <c r="E20" s="559">
        <f>'FOFIR  INCREMENTO'!F23+'FOFIR ESTIMACIONES'!F23</f>
        <v>215393.17209632928</v>
      </c>
      <c r="F20" s="559">
        <f>'FOFIR  INCREMENTO'!G23+'FOFIR ESTIMACIONES'!G23</f>
        <v>129945.3635669644</v>
      </c>
      <c r="G20" s="559">
        <f>'FOFIR  INCREMENTO'!H23+'FOFIR ESTIMACIONES'!H23</f>
        <v>129945.3635669644</v>
      </c>
      <c r="H20" s="559">
        <f>'FOFIR  INCREMENTO'!I23+'FOFIR ESTIMACIONES'!I23</f>
        <v>192582.67571524234</v>
      </c>
      <c r="I20" s="559">
        <f>'FOFIR  INCREMENTO'!J23+'FOFIR ESTIMACIONES'!J23</f>
        <v>129945.36356696441</v>
      </c>
      <c r="J20" s="559">
        <f>'FOFIR  INCREMENTO'!K23+'FOFIR ESTIMACIONES'!K23</f>
        <v>129945.36356696441</v>
      </c>
      <c r="K20" s="559">
        <f>'FOFIR  INCREMENTO'!L23+'FOFIR ESTIMACIONES'!L23</f>
        <v>185224.73858546081</v>
      </c>
      <c r="L20" s="559">
        <f>'FOFIR  INCREMENTO'!M23+'FOFIR ESTIMACIONES'!M23</f>
        <v>129945.36356696444</v>
      </c>
      <c r="M20" s="559">
        <f>'FOFIR  INCREMENTO'!N23+'FOFIR ESTIMACIONES'!N23</f>
        <v>129945.36356696444</v>
      </c>
      <c r="N20" s="560">
        <f t="shared" si="0"/>
        <v>1811689.4078393914</v>
      </c>
      <c r="P20" s="561"/>
    </row>
    <row r="21" spans="1:16" x14ac:dyDescent="0.2">
      <c r="A21" s="557" t="s">
        <v>160</v>
      </c>
      <c r="B21" s="559">
        <f>'FOFIR  INCREMENTO'!C24+'FOFIR ESTIMACIONES'!C24</f>
        <v>6505531.4763241326</v>
      </c>
      <c r="C21" s="559">
        <f>'FOFIR  INCREMENTO'!D24+'FOFIR ESTIMACIONES'!D24</f>
        <v>1503673.777751147</v>
      </c>
      <c r="D21" s="559">
        <f>'FOFIR  INCREMENTO'!E24+'FOFIR ESTIMACIONES'!E24</f>
        <v>1503673.777751147</v>
      </c>
      <c r="E21" s="559">
        <f>'FOFIR  INCREMENTO'!F24+'FOFIR ESTIMACIONES'!F24</f>
        <v>9475971.4537193533</v>
      </c>
      <c r="F21" s="559">
        <f>'FOFIR  INCREMENTO'!G24+'FOFIR ESTIMACIONES'!G24</f>
        <v>1503673.777751147</v>
      </c>
      <c r="G21" s="559">
        <f>'FOFIR  INCREMENTO'!H24+'FOFIR ESTIMACIONES'!H24</f>
        <v>1503673.777751147</v>
      </c>
      <c r="H21" s="559">
        <f>'FOFIR  INCREMENTO'!I24+'FOFIR ESTIMACIONES'!I24</f>
        <v>12303771.326628158</v>
      </c>
      <c r="I21" s="559">
        <f>'FOFIR  INCREMENTO'!J24+'FOFIR ESTIMACIONES'!J24</f>
        <v>1503673.7777511468</v>
      </c>
      <c r="J21" s="559">
        <f>'FOFIR  INCREMENTO'!K24+'FOFIR ESTIMACIONES'!K24</f>
        <v>1503673.7777511468</v>
      </c>
      <c r="K21" s="559">
        <f>'FOFIR  INCREMENTO'!L24+'FOFIR ESTIMACIONES'!L24</f>
        <v>6945701.026619711</v>
      </c>
      <c r="L21" s="559">
        <f>'FOFIR  INCREMENTO'!M24+'FOFIR ESTIMACIONES'!M24</f>
        <v>1503673.7777511468</v>
      </c>
      <c r="M21" s="559">
        <f>'FOFIR  INCREMENTO'!N24+'FOFIR ESTIMACIONES'!N24</f>
        <v>1503673.7777511468</v>
      </c>
      <c r="N21" s="560">
        <f t="shared" si="0"/>
        <v>47260365.505300537</v>
      </c>
      <c r="P21" s="561"/>
    </row>
    <row r="22" spans="1:16" x14ac:dyDescent="0.2">
      <c r="A22" s="557" t="s">
        <v>161</v>
      </c>
      <c r="B22" s="559">
        <f>'FOFIR  INCREMENTO'!C25+'FOFIR ESTIMACIONES'!C25</f>
        <v>128912.64100253911</v>
      </c>
      <c r="C22" s="559">
        <f>'FOFIR  INCREMENTO'!D25+'FOFIR ESTIMACIONES'!D25</f>
        <v>98907.372545496954</v>
      </c>
      <c r="D22" s="559">
        <f>'FOFIR  INCREMENTO'!E25+'FOFIR ESTIMACIONES'!E25</f>
        <v>98907.372545496954</v>
      </c>
      <c r="E22" s="559">
        <f>'FOFIR  INCREMENTO'!F25+'FOFIR ESTIMACIONES'!F25</f>
        <v>152488.61066946137</v>
      </c>
      <c r="F22" s="559">
        <f>'FOFIR  INCREMENTO'!G25+'FOFIR ESTIMACIONES'!G25</f>
        <v>98907.372545496954</v>
      </c>
      <c r="G22" s="559">
        <f>'FOFIR  INCREMENTO'!H25+'FOFIR ESTIMACIONES'!H25</f>
        <v>98907.372545496954</v>
      </c>
      <c r="H22" s="559">
        <f>'FOFIR  INCREMENTO'!I25+'FOFIR ESTIMACIONES'!I25</f>
        <v>130054.24328038156</v>
      </c>
      <c r="I22" s="559">
        <f>'FOFIR  INCREMENTO'!J25+'FOFIR ESTIMACIONES'!J25</f>
        <v>98907.372545496968</v>
      </c>
      <c r="J22" s="559">
        <f>'FOFIR  INCREMENTO'!K25+'FOFIR ESTIMACIONES'!K25</f>
        <v>98907.372545496968</v>
      </c>
      <c r="K22" s="559">
        <f>'FOFIR  INCREMENTO'!L25+'FOFIR ESTIMACIONES'!L25</f>
        <v>133104.41207418242</v>
      </c>
      <c r="L22" s="559">
        <f>'FOFIR  INCREMENTO'!M25+'FOFIR ESTIMACIONES'!M25</f>
        <v>98907.372545496997</v>
      </c>
      <c r="M22" s="559">
        <f>'FOFIR  INCREMENTO'!N25+'FOFIR ESTIMACIONES'!N25</f>
        <v>98907.372545496997</v>
      </c>
      <c r="N22" s="560">
        <f t="shared" si="0"/>
        <v>1335818.8873905402</v>
      </c>
      <c r="P22" s="561"/>
    </row>
    <row r="23" spans="1:16" ht="13.5" thickBot="1" x14ac:dyDescent="0.25">
      <c r="A23" s="557" t="s">
        <v>162</v>
      </c>
      <c r="B23" s="559">
        <f>'FOFIR  INCREMENTO'!C26+'FOFIR ESTIMACIONES'!C26</f>
        <v>282553.29277003603</v>
      </c>
      <c r="C23" s="559">
        <f>'FOFIR  INCREMENTO'!D26+'FOFIR ESTIMACIONES'!D26</f>
        <v>154973.88261824727</v>
      </c>
      <c r="D23" s="559">
        <f>'FOFIR  INCREMENTO'!E26+'FOFIR ESTIMACIONES'!E26</f>
        <v>154973.88261824727</v>
      </c>
      <c r="E23" s="559">
        <f>'FOFIR  INCREMENTO'!F26+'FOFIR ESTIMACIONES'!F26</f>
        <v>365787.5050570647</v>
      </c>
      <c r="F23" s="559">
        <f>'FOFIR  INCREMENTO'!G26+'FOFIR ESTIMACIONES'!G26</f>
        <v>154973.88261824727</v>
      </c>
      <c r="G23" s="559">
        <f>'FOFIR  INCREMENTO'!H26+'FOFIR ESTIMACIONES'!H26</f>
        <v>154973.88261824727</v>
      </c>
      <c r="H23" s="559">
        <f>'FOFIR  INCREMENTO'!I26+'FOFIR ESTIMACIONES'!I26</f>
        <v>386799.29231150472</v>
      </c>
      <c r="I23" s="559">
        <f>'FOFIR  INCREMENTO'!J26+'FOFIR ESTIMACIONES'!J26</f>
        <v>154973.88261824727</v>
      </c>
      <c r="J23" s="559">
        <f>'FOFIR  INCREMENTO'!K26+'FOFIR ESTIMACIONES'!K26</f>
        <v>154973.88261824727</v>
      </c>
      <c r="K23" s="559">
        <f>'FOFIR  INCREMENTO'!L26+'FOFIR ESTIMACIONES'!L26</f>
        <v>295793.07290192065</v>
      </c>
      <c r="L23" s="559">
        <f>'FOFIR  INCREMENTO'!M26+'FOFIR ESTIMACIONES'!M26</f>
        <v>154973.88261824733</v>
      </c>
      <c r="M23" s="559">
        <f>'FOFIR  INCREMENTO'!N26+'FOFIR ESTIMACIONES'!N26</f>
        <v>154973.88261824733</v>
      </c>
      <c r="N23" s="560">
        <f t="shared" si="0"/>
        <v>2570724.2239865046</v>
      </c>
      <c r="P23" s="561"/>
    </row>
    <row r="24" spans="1:16" ht="13.5" thickBot="1" x14ac:dyDescent="0.25">
      <c r="A24" s="562" t="s">
        <v>280</v>
      </c>
      <c r="B24" s="564">
        <f t="shared" ref="B24:M24" si="1">SUM(B4:B23)</f>
        <v>11797726.050000001</v>
      </c>
      <c r="C24" s="564">
        <f t="shared" si="1"/>
        <v>3802484.4749999996</v>
      </c>
      <c r="D24" s="564">
        <f t="shared" si="1"/>
        <v>3802484.4749999996</v>
      </c>
      <c r="E24" s="564">
        <f t="shared" si="1"/>
        <v>16635433.5</v>
      </c>
      <c r="F24" s="564">
        <f t="shared" si="1"/>
        <v>3802484.4749999996</v>
      </c>
      <c r="G24" s="564">
        <f t="shared" si="1"/>
        <v>3802484.4749999996</v>
      </c>
      <c r="H24" s="564">
        <f t="shared" si="1"/>
        <v>20542386.374999996</v>
      </c>
      <c r="I24" s="564">
        <f t="shared" si="1"/>
        <v>3802484.4749999996</v>
      </c>
      <c r="J24" s="564">
        <f t="shared" si="1"/>
        <v>3802484.4749999996</v>
      </c>
      <c r="K24" s="564">
        <f t="shared" si="1"/>
        <v>12525459.749999998</v>
      </c>
      <c r="L24" s="564">
        <f t="shared" si="1"/>
        <v>3802484.4750000001</v>
      </c>
      <c r="M24" s="564">
        <f t="shared" si="1"/>
        <v>3802484.4750000001</v>
      </c>
      <c r="N24" s="564">
        <f t="shared" si="0"/>
        <v>91920881.474999979</v>
      </c>
    </row>
    <row r="25" spans="1:16" x14ac:dyDescent="0.2">
      <c r="A25" s="566" t="s">
        <v>281</v>
      </c>
    </row>
  </sheetData>
  <mergeCells count="1">
    <mergeCell ref="A1:N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Q25"/>
  <sheetViews>
    <sheetView workbookViewId="0">
      <selection sqref="A1:O1"/>
    </sheetView>
  </sheetViews>
  <sheetFormatPr baseColWidth="10" defaultRowHeight="12.75" x14ac:dyDescent="0.2"/>
  <cols>
    <col min="1" max="1" width="16.5703125" style="552" customWidth="1"/>
    <col min="2" max="2" width="9.7109375" style="552" hidden="1" customWidth="1"/>
    <col min="3" max="10" width="9.7109375" style="552" customWidth="1"/>
    <col min="11" max="11" width="10.42578125" style="552" bestFit="1" customWidth="1"/>
    <col min="12" max="15" width="9.7109375" style="552" customWidth="1"/>
    <col min="16" max="16" width="12.7109375" style="552" bestFit="1" customWidth="1"/>
    <col min="17" max="16384" width="11.42578125" style="552"/>
  </cols>
  <sheetData>
    <row r="1" spans="1:17" x14ac:dyDescent="0.2">
      <c r="A1" s="1215" t="s">
        <v>492</v>
      </c>
      <c r="B1" s="1215"/>
      <c r="C1" s="1215"/>
      <c r="D1" s="1215"/>
      <c r="E1" s="1215"/>
      <c r="F1" s="1215"/>
      <c r="G1" s="1215"/>
      <c r="H1" s="1215"/>
      <c r="I1" s="1215"/>
      <c r="J1" s="1215"/>
      <c r="K1" s="1215"/>
      <c r="L1" s="1215"/>
      <c r="M1" s="1215"/>
      <c r="N1" s="1215"/>
      <c r="O1" s="1215"/>
    </row>
    <row r="2" spans="1:17" ht="13.5" thickBot="1" x14ac:dyDescent="0.25"/>
    <row r="3" spans="1:17" ht="23.25" thickBot="1" x14ac:dyDescent="0.25">
      <c r="A3" s="847" t="s">
        <v>307</v>
      </c>
      <c r="B3" s="849" t="s">
        <v>273</v>
      </c>
      <c r="C3" s="847" t="s">
        <v>1</v>
      </c>
      <c r="D3" s="849" t="s">
        <v>2</v>
      </c>
      <c r="E3" s="847" t="s">
        <v>3</v>
      </c>
      <c r="F3" s="849" t="s">
        <v>4</v>
      </c>
      <c r="G3" s="847" t="s">
        <v>5</v>
      </c>
      <c r="H3" s="847" t="s">
        <v>6</v>
      </c>
      <c r="I3" s="847" t="s">
        <v>7</v>
      </c>
      <c r="J3" s="849" t="s">
        <v>8</v>
      </c>
      <c r="K3" s="847" t="s">
        <v>9</v>
      </c>
      <c r="L3" s="849" t="s">
        <v>10</v>
      </c>
      <c r="M3" s="847" t="s">
        <v>11</v>
      </c>
      <c r="N3" s="847" t="s">
        <v>12</v>
      </c>
      <c r="O3" s="850" t="s">
        <v>165</v>
      </c>
    </row>
    <row r="4" spans="1:17" x14ac:dyDescent="0.2">
      <c r="A4" s="557" t="s">
        <v>274</v>
      </c>
      <c r="B4" s="558">
        <f>FGP!U8</f>
        <v>3.8084072470153756</v>
      </c>
      <c r="C4" s="559">
        <f>$C$24*B4/100</f>
        <v>56123.908248244123</v>
      </c>
      <c r="D4" s="559">
        <f>$D$24*B4/100</f>
        <v>62684.54477727459</v>
      </c>
      <c r="E4" s="559">
        <f>$E$24*B4/100</f>
        <v>48648.745557562477</v>
      </c>
      <c r="F4" s="559">
        <f>$F$24*B4/100</f>
        <v>45151.051024202097</v>
      </c>
      <c r="G4" s="559">
        <f>$G$24*B4/100</f>
        <v>48276.460419741357</v>
      </c>
      <c r="H4" s="559">
        <f>$H$24*B4/100</f>
        <v>41929.575507958696</v>
      </c>
      <c r="I4" s="559">
        <f>$I$24*B4/100</f>
        <v>45424.262351695725</v>
      </c>
      <c r="J4" s="559">
        <f>$J$24*B4/100</f>
        <v>46844.354575388199</v>
      </c>
      <c r="K4" s="559">
        <f>$K$24*B4/100</f>
        <v>46030.727403237644</v>
      </c>
      <c r="L4" s="559">
        <f>$L$24*B4/100</f>
        <v>47159.596437361695</v>
      </c>
      <c r="M4" s="559">
        <f>$M$24*B4/100</f>
        <v>45661.441386123544</v>
      </c>
      <c r="N4" s="559">
        <f>$N$24*B4/100</f>
        <v>49270.223350472115</v>
      </c>
      <c r="O4" s="560">
        <f>SUM(C4:N4)</f>
        <v>583204.89103926229</v>
      </c>
      <c r="P4" s="561"/>
      <c r="Q4" s="561"/>
    </row>
    <row r="5" spans="1:17" x14ac:dyDescent="0.2">
      <c r="A5" s="557" t="s">
        <v>144</v>
      </c>
      <c r="B5" s="558">
        <f>FGP!U9</f>
        <v>2.8691330261854757</v>
      </c>
      <c r="C5" s="559">
        <f t="shared" ref="C5:C23" si="0">$C$24*B5/100</f>
        <v>42281.969408559555</v>
      </c>
      <c r="D5" s="559">
        <f t="shared" ref="D5:D23" si="1">$D$24*B5/100</f>
        <v>47224.544537044538</v>
      </c>
      <c r="E5" s="559">
        <f t="shared" ref="E5:E23" si="2">$E$24*B5/100</f>
        <v>36650.41932453106</v>
      </c>
      <c r="F5" s="559">
        <f t="shared" ref="F5:F23" si="3">$F$24*B5/100</f>
        <v>34015.367385419944</v>
      </c>
      <c r="G5" s="559">
        <f t="shared" ref="G5:G23" si="4">$G$24*B5/100</f>
        <v>36369.951529255835</v>
      </c>
      <c r="H5" s="559">
        <f t="shared" ref="H5:H23" si="5">$H$24*B5/100</f>
        <v>31588.410078281802</v>
      </c>
      <c r="I5" s="559">
        <f t="shared" ref="I5:I23" si="6">$I$24*B5/100</f>
        <v>34221.196119585467</v>
      </c>
      <c r="J5" s="559">
        <f t="shared" ref="J5:J23" si="7">$J$24*B5/100</f>
        <v>35291.048484355109</v>
      </c>
      <c r="K5" s="559">
        <f t="shared" ref="K5:K23" si="8">$K$24*B5/100</f>
        <v>34678.087621924096</v>
      </c>
      <c r="L5" s="559">
        <f t="shared" ref="L5:L23" si="9">$L$24*B5/100</f>
        <v>35528.541687880854</v>
      </c>
      <c r="M5" s="559">
        <f t="shared" ref="M5:M23" si="10">$M$24*B5/100</f>
        <v>34399.879268906989</v>
      </c>
      <c r="N5" s="559">
        <f t="shared" ref="N5:N23" si="11">$N$24*B5/100</f>
        <v>37118.620949258904</v>
      </c>
      <c r="O5" s="560">
        <f t="shared" ref="O5:O23" si="12">SUM(C5:N5)</f>
        <v>439368.03639500419</v>
      </c>
      <c r="P5" s="561"/>
    </row>
    <row r="6" spans="1:17" x14ac:dyDescent="0.2">
      <c r="A6" s="557" t="s">
        <v>145</v>
      </c>
      <c r="B6" s="558">
        <f>FGP!U10</f>
        <v>2.8805714770770665</v>
      </c>
      <c r="C6" s="559">
        <f t="shared" si="0"/>
        <v>42450.536089248657</v>
      </c>
      <c r="D6" s="559">
        <f t="shared" si="1"/>
        <v>47412.815916807958</v>
      </c>
      <c r="E6" s="559">
        <f t="shared" si="2"/>
        <v>36796.534550898665</v>
      </c>
      <c r="F6" s="559">
        <f t="shared" si="3"/>
        <v>34150.977378350406</v>
      </c>
      <c r="G6" s="559">
        <f t="shared" si="4"/>
        <v>36514.948607014208</v>
      </c>
      <c r="H6" s="559">
        <f t="shared" si="5"/>
        <v>31714.344454320209</v>
      </c>
      <c r="I6" s="559">
        <f t="shared" si="6"/>
        <v>34357.62669554443</v>
      </c>
      <c r="J6" s="559">
        <f t="shared" si="7"/>
        <v>35431.744269917108</v>
      </c>
      <c r="K6" s="559">
        <f t="shared" si="8"/>
        <v>34816.33969969723</v>
      </c>
      <c r="L6" s="559">
        <f t="shared" si="9"/>
        <v>35670.184294075021</v>
      </c>
      <c r="M6" s="559">
        <f t="shared" si="10"/>
        <v>34537.022205850968</v>
      </c>
      <c r="N6" s="559">
        <f t="shared" si="11"/>
        <v>37266.602767814089</v>
      </c>
      <c r="O6" s="560">
        <f t="shared" si="12"/>
        <v>441119.67692953889</v>
      </c>
      <c r="P6" s="561"/>
    </row>
    <row r="7" spans="1:17" x14ac:dyDescent="0.2">
      <c r="A7" s="557" t="s">
        <v>275</v>
      </c>
      <c r="B7" s="558">
        <f>FGP!U11</f>
        <v>10.639066083702961</v>
      </c>
      <c r="C7" s="559">
        <f t="shared" si="0"/>
        <v>156786.27048005408</v>
      </c>
      <c r="D7" s="559">
        <f t="shared" si="1"/>
        <v>175113.89172859886</v>
      </c>
      <c r="E7" s="559">
        <f t="shared" si="2"/>
        <v>135903.85305609845</v>
      </c>
      <c r="F7" s="559">
        <f t="shared" si="3"/>
        <v>126132.78581790047</v>
      </c>
      <c r="G7" s="559">
        <f t="shared" si="4"/>
        <v>134863.84710968519</v>
      </c>
      <c r="H7" s="559">
        <f t="shared" si="5"/>
        <v>117133.35674392091</v>
      </c>
      <c r="I7" s="559">
        <f t="shared" si="6"/>
        <v>126896.02177967923</v>
      </c>
      <c r="J7" s="559">
        <f t="shared" si="7"/>
        <v>130863.15397770172</v>
      </c>
      <c r="K7" s="559">
        <f t="shared" si="8"/>
        <v>128590.22655934593</v>
      </c>
      <c r="L7" s="559">
        <f t="shared" si="9"/>
        <v>131743.8053325467</v>
      </c>
      <c r="M7" s="559">
        <f t="shared" si="10"/>
        <v>127558.59887747356</v>
      </c>
      <c r="N7" s="559">
        <f t="shared" si="11"/>
        <v>137639.99703426709</v>
      </c>
      <c r="O7" s="560">
        <f t="shared" si="12"/>
        <v>1629225.8084972722</v>
      </c>
      <c r="P7" s="561"/>
    </row>
    <row r="8" spans="1:17" x14ac:dyDescent="0.2">
      <c r="A8" s="557" t="s">
        <v>147</v>
      </c>
      <c r="B8" s="558">
        <f>FGP!U12</f>
        <v>5.6047496625614732</v>
      </c>
      <c r="C8" s="559">
        <f t="shared" si="0"/>
        <v>82596.328442158163</v>
      </c>
      <c r="D8" s="559">
        <f t="shared" si="1"/>
        <v>92251.47375286225</v>
      </c>
      <c r="E8" s="559">
        <f t="shared" si="2"/>
        <v>71595.29497835935</v>
      </c>
      <c r="F8" s="559">
        <f t="shared" si="3"/>
        <v>66447.814421767616</v>
      </c>
      <c r="G8" s="559">
        <f t="shared" si="4"/>
        <v>71047.411082220147</v>
      </c>
      <c r="H8" s="559">
        <f t="shared" si="5"/>
        <v>61706.839352264404</v>
      </c>
      <c r="I8" s="559">
        <f t="shared" si="6"/>
        <v>66849.893557810108</v>
      </c>
      <c r="J8" s="559">
        <f t="shared" si="7"/>
        <v>68939.812228609866</v>
      </c>
      <c r="K8" s="559">
        <f t="shared" si="8"/>
        <v>67742.414911887638</v>
      </c>
      <c r="L8" s="559">
        <f t="shared" si="9"/>
        <v>69403.746783115785</v>
      </c>
      <c r="M8" s="559">
        <f t="shared" si="10"/>
        <v>67198.944756107696</v>
      </c>
      <c r="N8" s="559">
        <f t="shared" si="11"/>
        <v>72509.910255606694</v>
      </c>
      <c r="O8" s="560">
        <f t="shared" si="12"/>
        <v>858289.88452276983</v>
      </c>
      <c r="P8" s="561"/>
    </row>
    <row r="9" spans="1:17" x14ac:dyDescent="0.2">
      <c r="A9" s="557" t="s">
        <v>276</v>
      </c>
      <c r="B9" s="558">
        <f>FGP!U13</f>
        <v>3.6620290349041662</v>
      </c>
      <c r="C9" s="559">
        <f t="shared" si="0"/>
        <v>53966.75518838955</v>
      </c>
      <c r="D9" s="559">
        <f t="shared" si="1"/>
        <v>60275.230070005979</v>
      </c>
      <c r="E9" s="559">
        <f t="shared" si="2"/>
        <v>46778.904457519959</v>
      </c>
      <c r="F9" s="559">
        <f t="shared" si="3"/>
        <v>43415.645723457477</v>
      </c>
      <c r="G9" s="559">
        <f t="shared" si="4"/>
        <v>46420.928302256456</v>
      </c>
      <c r="H9" s="559">
        <f t="shared" si="5"/>
        <v>40317.989377760321</v>
      </c>
      <c r="I9" s="559">
        <f t="shared" si="6"/>
        <v>43678.356024392473</v>
      </c>
      <c r="J9" s="559">
        <f t="shared" si="7"/>
        <v>45043.866228029168</v>
      </c>
      <c r="K9" s="559">
        <f t="shared" si="8"/>
        <v>44261.511260519495</v>
      </c>
      <c r="L9" s="559">
        <f t="shared" si="9"/>
        <v>45346.991596900603</v>
      </c>
      <c r="M9" s="559">
        <f t="shared" si="10"/>
        <v>43906.418953120978</v>
      </c>
      <c r="N9" s="559">
        <f t="shared" si="11"/>
        <v>47376.495412102573</v>
      </c>
      <c r="O9" s="560">
        <f t="shared" si="12"/>
        <v>560789.09259445511</v>
      </c>
      <c r="P9" s="561"/>
    </row>
    <row r="10" spans="1:17" x14ac:dyDescent="0.2">
      <c r="A10" s="557" t="s">
        <v>149</v>
      </c>
      <c r="B10" s="558">
        <f>FGP!U14</f>
        <v>3.0697485567960188</v>
      </c>
      <c r="C10" s="559">
        <f t="shared" si="0"/>
        <v>45238.409437913768</v>
      </c>
      <c r="D10" s="559">
        <f t="shared" si="1"/>
        <v>50526.579323746686</v>
      </c>
      <c r="E10" s="559">
        <f t="shared" si="2"/>
        <v>39213.090087017481</v>
      </c>
      <c r="F10" s="559">
        <f t="shared" si="3"/>
        <v>36393.790035976221</v>
      </c>
      <c r="G10" s="559">
        <f t="shared" si="4"/>
        <v>38913.011421470714</v>
      </c>
      <c r="H10" s="559">
        <f t="shared" si="5"/>
        <v>33797.135010573686</v>
      </c>
      <c r="I10" s="559">
        <f t="shared" si="6"/>
        <v>36614.010727692206</v>
      </c>
      <c r="J10" s="559">
        <f t="shared" si="7"/>
        <v>37758.66931367026</v>
      </c>
      <c r="K10" s="559">
        <f t="shared" si="8"/>
        <v>37102.848999433496</v>
      </c>
      <c r="L10" s="559">
        <f t="shared" si="9"/>
        <v>38012.768517896176</v>
      </c>
      <c r="M10" s="559">
        <f t="shared" si="10"/>
        <v>36805.187760875211</v>
      </c>
      <c r="N10" s="559">
        <f t="shared" si="11"/>
        <v>39714.029307569654</v>
      </c>
      <c r="O10" s="560">
        <f t="shared" si="12"/>
        <v>470089.52994383557</v>
      </c>
      <c r="P10" s="561"/>
    </row>
    <row r="11" spans="1:17" x14ac:dyDescent="0.2">
      <c r="A11" s="557" t="s">
        <v>150</v>
      </c>
      <c r="B11" s="558">
        <f>FGP!U15</f>
        <v>3.4287748252403007</v>
      </c>
      <c r="C11" s="559">
        <f t="shared" si="0"/>
        <v>50529.323996662104</v>
      </c>
      <c r="D11" s="559">
        <f t="shared" si="1"/>
        <v>56435.978382408473</v>
      </c>
      <c r="E11" s="559">
        <f t="shared" si="2"/>
        <v>43799.305911418909</v>
      </c>
      <c r="F11" s="559">
        <f t="shared" si="3"/>
        <v>40650.271109070658</v>
      </c>
      <c r="G11" s="559">
        <f t="shared" si="4"/>
        <v>43464.131171539782</v>
      </c>
      <c r="H11" s="559">
        <f t="shared" si="5"/>
        <v>37749.921058828571</v>
      </c>
      <c r="I11" s="559">
        <f t="shared" si="6"/>
        <v>40896.247986258568</v>
      </c>
      <c r="J11" s="559">
        <f t="shared" si="7"/>
        <v>42174.781543806072</v>
      </c>
      <c r="K11" s="559">
        <f t="shared" si="8"/>
        <v>41442.258947335438</v>
      </c>
      <c r="L11" s="559">
        <f t="shared" si="9"/>
        <v>42458.599237159033</v>
      </c>
      <c r="M11" s="559">
        <f t="shared" si="10"/>
        <v>41109.784367631182</v>
      </c>
      <c r="N11" s="559">
        <f t="shared" si="11"/>
        <v>44358.833102856865</v>
      </c>
      <c r="O11" s="560">
        <f t="shared" si="12"/>
        <v>525069.43681497558</v>
      </c>
      <c r="P11" s="561"/>
    </row>
    <row r="12" spans="1:17" x14ac:dyDescent="0.2">
      <c r="A12" s="557" t="s">
        <v>151</v>
      </c>
      <c r="B12" s="558">
        <f>FGP!U16</f>
        <v>2.8577348059446361</v>
      </c>
      <c r="C12" s="559">
        <f t="shared" si="0"/>
        <v>42113.995600744885</v>
      </c>
      <c r="D12" s="559">
        <f t="shared" si="1"/>
        <v>47036.935334371141</v>
      </c>
      <c r="E12" s="559">
        <f t="shared" si="2"/>
        <v>36504.818006095324</v>
      </c>
      <c r="F12" s="559">
        <f t="shared" si="3"/>
        <v>33880.234352028485</v>
      </c>
      <c r="G12" s="559">
        <f t="shared" si="4"/>
        <v>36225.464426742408</v>
      </c>
      <c r="H12" s="559">
        <f t="shared" si="5"/>
        <v>31462.918631268312</v>
      </c>
      <c r="I12" s="559">
        <f t="shared" si="6"/>
        <v>34085.245389272139</v>
      </c>
      <c r="J12" s="559">
        <f t="shared" si="7"/>
        <v>35150.847545784607</v>
      </c>
      <c r="K12" s="559">
        <f t="shared" si="8"/>
        <v>34540.321796276294</v>
      </c>
      <c r="L12" s="559">
        <f t="shared" si="9"/>
        <v>35387.397258780366</v>
      </c>
      <c r="M12" s="559">
        <f t="shared" si="10"/>
        <v>34263.218683083061</v>
      </c>
      <c r="N12" s="559">
        <f t="shared" si="11"/>
        <v>36971.159603704495</v>
      </c>
      <c r="O12" s="560">
        <f t="shared" si="12"/>
        <v>437622.55662815156</v>
      </c>
      <c r="P12" s="561"/>
    </row>
    <row r="13" spans="1:17" x14ac:dyDescent="0.2">
      <c r="A13" s="557" t="s">
        <v>152</v>
      </c>
      <c r="B13" s="558">
        <f>FGP!U17</f>
        <v>3.0578406083142733</v>
      </c>
      <c r="C13" s="559">
        <f t="shared" si="0"/>
        <v>45062.923843893317</v>
      </c>
      <c r="D13" s="559">
        <f t="shared" si="1"/>
        <v>50330.58024029927</v>
      </c>
      <c r="E13" s="559">
        <f t="shared" si="2"/>
        <v>39060.977479770707</v>
      </c>
      <c r="F13" s="559">
        <f t="shared" si="3"/>
        <v>36252.613855326359</v>
      </c>
      <c r="G13" s="559">
        <f t="shared" si="4"/>
        <v>38762.062857865858</v>
      </c>
      <c r="H13" s="559">
        <f t="shared" si="5"/>
        <v>33666.031587902296</v>
      </c>
      <c r="I13" s="559">
        <f t="shared" si="6"/>
        <v>36471.980282726217</v>
      </c>
      <c r="J13" s="559">
        <f t="shared" si="7"/>
        <v>37612.198591196582</v>
      </c>
      <c r="K13" s="559">
        <f t="shared" si="8"/>
        <v>36958.922288096466</v>
      </c>
      <c r="L13" s="559">
        <f t="shared" si="9"/>
        <v>37865.312112009939</v>
      </c>
      <c r="M13" s="559">
        <f t="shared" si="10"/>
        <v>36662.415715670664</v>
      </c>
      <c r="N13" s="559">
        <f t="shared" si="11"/>
        <v>39559.973492818928</v>
      </c>
      <c r="O13" s="560">
        <f t="shared" si="12"/>
        <v>468265.9923475766</v>
      </c>
      <c r="P13" s="561"/>
    </row>
    <row r="14" spans="1:17" x14ac:dyDescent="0.2">
      <c r="A14" s="557" t="s">
        <v>153</v>
      </c>
      <c r="B14" s="558">
        <f>FGP!U18</f>
        <v>3.5047212504004186</v>
      </c>
      <c r="C14" s="559">
        <f t="shared" si="0"/>
        <v>51648.534711537475</v>
      </c>
      <c r="D14" s="559">
        <f t="shared" si="1"/>
        <v>57686.019877407263</v>
      </c>
      <c r="E14" s="559">
        <f t="shared" si="2"/>
        <v>44769.448565284656</v>
      </c>
      <c r="F14" s="559">
        <f t="shared" si="3"/>
        <v>41550.6635028194</v>
      </c>
      <c r="G14" s="559">
        <f t="shared" si="4"/>
        <v>44426.849796533628</v>
      </c>
      <c r="H14" s="559">
        <f t="shared" si="5"/>
        <v>38586.071491744144</v>
      </c>
      <c r="I14" s="559">
        <f t="shared" si="6"/>
        <v>41802.088700601875</v>
      </c>
      <c r="J14" s="559">
        <f t="shared" si="7"/>
        <v>43108.941426975565</v>
      </c>
      <c r="K14" s="559">
        <f t="shared" si="8"/>
        <v>42360.193655220333</v>
      </c>
      <c r="L14" s="559">
        <f t="shared" si="9"/>
        <v>43399.04560465776</v>
      </c>
      <c r="M14" s="559">
        <f t="shared" si="10"/>
        <v>42020.354854453995</v>
      </c>
      <c r="N14" s="559">
        <f t="shared" si="11"/>
        <v>45341.369131072184</v>
      </c>
      <c r="O14" s="560">
        <f t="shared" si="12"/>
        <v>536699.58131830825</v>
      </c>
      <c r="P14" s="561"/>
    </row>
    <row r="15" spans="1:17" x14ac:dyDescent="0.2">
      <c r="A15" s="557" t="s">
        <v>154</v>
      </c>
      <c r="B15" s="558">
        <f>FGP!U19</f>
        <v>2.9571648841167448</v>
      </c>
      <c r="C15" s="559">
        <f t="shared" si="0"/>
        <v>43579.281275962654</v>
      </c>
      <c r="D15" s="559">
        <f t="shared" si="1"/>
        <v>48673.50642121381</v>
      </c>
      <c r="E15" s="559">
        <f t="shared" si="2"/>
        <v>37774.941777011445</v>
      </c>
      <c r="F15" s="559">
        <f t="shared" si="3"/>
        <v>35059.040147130239</v>
      </c>
      <c r="G15" s="559">
        <f t="shared" si="4"/>
        <v>37485.868559511939</v>
      </c>
      <c r="H15" s="559">
        <f t="shared" si="5"/>
        <v>32557.617989837941</v>
      </c>
      <c r="I15" s="559">
        <f t="shared" si="6"/>
        <v>35271.184198751893</v>
      </c>
      <c r="J15" s="559">
        <f t="shared" si="7"/>
        <v>36373.862190818443</v>
      </c>
      <c r="K15" s="559">
        <f t="shared" si="8"/>
        <v>35742.094224266963</v>
      </c>
      <c r="L15" s="559">
        <f t="shared" si="9"/>
        <v>36618.64225339242</v>
      </c>
      <c r="M15" s="559">
        <f t="shared" si="10"/>
        <v>35455.349774113696</v>
      </c>
      <c r="N15" s="559">
        <f t="shared" si="11"/>
        <v>38257.5089464997</v>
      </c>
      <c r="O15" s="560">
        <f t="shared" si="12"/>
        <v>452848.89775851113</v>
      </c>
      <c r="P15" s="561"/>
    </row>
    <row r="16" spans="1:17" x14ac:dyDescent="0.2">
      <c r="A16" s="557" t="s">
        <v>155</v>
      </c>
      <c r="B16" s="558">
        <f>FGP!U20</f>
        <v>4.2498259986183484</v>
      </c>
      <c r="C16" s="559">
        <f t="shared" si="0"/>
        <v>62629.02808106532</v>
      </c>
      <c r="D16" s="559">
        <f t="shared" si="1"/>
        <v>69950.084333757186</v>
      </c>
      <c r="E16" s="559">
        <f t="shared" si="2"/>
        <v>54287.446236934236</v>
      </c>
      <c r="F16" s="559">
        <f t="shared" si="3"/>
        <v>50384.346542239153</v>
      </c>
      <c r="G16" s="559">
        <f t="shared" si="4"/>
        <v>53872.010871178296</v>
      </c>
      <c r="H16" s="559">
        <f t="shared" si="5"/>
        <v>46789.481414941394</v>
      </c>
      <c r="I16" s="559">
        <f t="shared" si="6"/>
        <v>50689.224809554034</v>
      </c>
      <c r="J16" s="559">
        <f t="shared" si="7"/>
        <v>52273.914802309853</v>
      </c>
      <c r="K16" s="559">
        <f t="shared" si="8"/>
        <v>51365.983038421524</v>
      </c>
      <c r="L16" s="559">
        <f t="shared" si="9"/>
        <v>52625.695211801969</v>
      </c>
      <c r="M16" s="559">
        <f t="shared" si="10"/>
        <v>50953.894410639492</v>
      </c>
      <c r="N16" s="559">
        <f t="shared" si="11"/>
        <v>54980.957279888258</v>
      </c>
      <c r="O16" s="560">
        <f t="shared" si="12"/>
        <v>650802.06703273067</v>
      </c>
      <c r="P16" s="561"/>
    </row>
    <row r="17" spans="1:16" x14ac:dyDescent="0.2">
      <c r="A17" s="557" t="s">
        <v>277</v>
      </c>
      <c r="B17" s="558">
        <f>FGP!U21</f>
        <v>2.5967637526947485</v>
      </c>
      <c r="C17" s="559">
        <f t="shared" si="0"/>
        <v>38268.10557427178</v>
      </c>
      <c r="D17" s="559">
        <f t="shared" si="1"/>
        <v>42741.477781653943</v>
      </c>
      <c r="E17" s="559">
        <f t="shared" si="2"/>
        <v>33171.163398281889</v>
      </c>
      <c r="F17" s="559">
        <f t="shared" si="3"/>
        <v>30786.259213114492</v>
      </c>
      <c r="G17" s="559">
        <f t="shared" si="4"/>
        <v>32917.320652782844</v>
      </c>
      <c r="H17" s="559">
        <f t="shared" si="5"/>
        <v>28589.695056975364</v>
      </c>
      <c r="I17" s="559">
        <f t="shared" si="6"/>
        <v>30972.548447969057</v>
      </c>
      <c r="J17" s="559">
        <f t="shared" si="7"/>
        <v>31940.838804747014</v>
      </c>
      <c r="K17" s="559">
        <f t="shared" si="8"/>
        <v>31386.066845812249</v>
      </c>
      <c r="L17" s="559">
        <f t="shared" si="9"/>
        <v>32155.786573567257</v>
      </c>
      <c r="M17" s="559">
        <f t="shared" si="10"/>
        <v>31134.269051768446</v>
      </c>
      <c r="N17" s="559">
        <f t="shared" si="11"/>
        <v>33594.918238838196</v>
      </c>
      <c r="O17" s="560">
        <f t="shared" si="12"/>
        <v>397658.44963978254</v>
      </c>
      <c r="P17" s="561"/>
    </row>
    <row r="18" spans="1:16" x14ac:dyDescent="0.2">
      <c r="A18" s="557" t="s">
        <v>278</v>
      </c>
      <c r="B18" s="558">
        <f>FGP!U22</f>
        <v>3.2386593121117824</v>
      </c>
      <c r="C18" s="559">
        <f t="shared" si="0"/>
        <v>47727.621100062795</v>
      </c>
      <c r="D18" s="559">
        <f t="shared" si="1"/>
        <v>53306.768814577023</v>
      </c>
      <c r="E18" s="559">
        <f t="shared" si="2"/>
        <v>41370.762789623572</v>
      </c>
      <c r="F18" s="559">
        <f t="shared" si="3"/>
        <v>38396.332736149736</v>
      </c>
      <c r="G18" s="559">
        <f t="shared" si="4"/>
        <v>41054.17250655705</v>
      </c>
      <c r="H18" s="559">
        <f t="shared" si="5"/>
        <v>35656.798594259235</v>
      </c>
      <c r="I18" s="559">
        <f t="shared" si="6"/>
        <v>38628.670916541319</v>
      </c>
      <c r="J18" s="559">
        <f t="shared" si="7"/>
        <v>39836.313536149159</v>
      </c>
      <c r="K18" s="559">
        <f t="shared" si="8"/>
        <v>39144.407170374427</v>
      </c>
      <c r="L18" s="559">
        <f t="shared" si="9"/>
        <v>40104.39437037403</v>
      </c>
      <c r="M18" s="559">
        <f t="shared" si="10"/>
        <v>38830.367331516187</v>
      </c>
      <c r="N18" s="559">
        <f t="shared" si="11"/>
        <v>41899.265838465013</v>
      </c>
      <c r="O18" s="560">
        <f t="shared" si="12"/>
        <v>495955.87570464949</v>
      </c>
      <c r="P18" s="561"/>
    </row>
    <row r="19" spans="1:16" x14ac:dyDescent="0.2">
      <c r="A19" s="557" t="s">
        <v>279</v>
      </c>
      <c r="B19" s="558">
        <f>FGP!U23</f>
        <v>6.5756833314824163</v>
      </c>
      <c r="C19" s="559">
        <f t="shared" si="0"/>
        <v>96904.827669060833</v>
      </c>
      <c r="D19" s="559">
        <f t="shared" si="1"/>
        <v>108232.57322507231</v>
      </c>
      <c r="E19" s="559">
        <f t="shared" si="2"/>
        <v>83998.040259768808</v>
      </c>
      <c r="F19" s="559">
        <f t="shared" si="3"/>
        <v>77958.840628568723</v>
      </c>
      <c r="G19" s="559">
        <f t="shared" si="4"/>
        <v>83355.244199224748</v>
      </c>
      <c r="H19" s="559">
        <f t="shared" si="5"/>
        <v>72396.56708979691</v>
      </c>
      <c r="I19" s="559">
        <f t="shared" si="6"/>
        <v>78430.573575085931</v>
      </c>
      <c r="J19" s="559">
        <f t="shared" si="7"/>
        <v>80882.537390620768</v>
      </c>
      <c r="K19" s="559">
        <f t="shared" si="8"/>
        <v>79477.710047603701</v>
      </c>
      <c r="L19" s="559">
        <f t="shared" si="9"/>
        <v>81426.84122230504</v>
      </c>
      <c r="M19" s="559">
        <f t="shared" si="10"/>
        <v>78840.092337683163</v>
      </c>
      <c r="N19" s="559">
        <f t="shared" si="11"/>
        <v>85071.098075979273</v>
      </c>
      <c r="O19" s="560">
        <f t="shared" si="12"/>
        <v>1006974.9457207704</v>
      </c>
      <c r="P19" s="561"/>
    </row>
    <row r="20" spans="1:16" x14ac:dyDescent="0.2">
      <c r="A20" s="557" t="s">
        <v>159</v>
      </c>
      <c r="B20" s="558">
        <f>FGP!U24</f>
        <v>4.4717731363038817</v>
      </c>
      <c r="C20" s="559">
        <f t="shared" si="0"/>
        <v>65899.828702817467</v>
      </c>
      <c r="D20" s="559">
        <f t="shared" si="1"/>
        <v>73603.227075080344</v>
      </c>
      <c r="E20" s="559">
        <f t="shared" si="2"/>
        <v>57122.607796127952</v>
      </c>
      <c r="F20" s="559">
        <f t="shared" si="3"/>
        <v>53015.668742922557</v>
      </c>
      <c r="G20" s="559">
        <f t="shared" si="4"/>
        <v>56685.476320848269</v>
      </c>
      <c r="H20" s="559">
        <f t="shared" si="5"/>
        <v>49233.061805576879</v>
      </c>
      <c r="I20" s="559">
        <f t="shared" si="6"/>
        <v>53336.469275947857</v>
      </c>
      <c r="J20" s="559">
        <f t="shared" si="7"/>
        <v>55003.919694218843</v>
      </c>
      <c r="K20" s="559">
        <f t="shared" si="8"/>
        <v>54048.571199322156</v>
      </c>
      <c r="L20" s="559">
        <f t="shared" si="9"/>
        <v>55374.071833519665</v>
      </c>
      <c r="M20" s="559">
        <f t="shared" si="10"/>
        <v>53614.96124538732</v>
      </c>
      <c r="N20" s="559">
        <f t="shared" si="11"/>
        <v>57852.337449205552</v>
      </c>
      <c r="O20" s="560">
        <f t="shared" si="12"/>
        <v>684790.20114097488</v>
      </c>
      <c r="P20" s="561"/>
    </row>
    <row r="21" spans="1:16" x14ac:dyDescent="0.2">
      <c r="A21" s="557" t="s">
        <v>160</v>
      </c>
      <c r="B21" s="558">
        <f>FGP!U25</f>
        <v>22.5211599449758</v>
      </c>
      <c r="C21" s="559">
        <f t="shared" si="0"/>
        <v>331890.8489596069</v>
      </c>
      <c r="D21" s="559">
        <f t="shared" si="1"/>
        <v>370687.42060433829</v>
      </c>
      <c r="E21" s="559">
        <f t="shared" si="2"/>
        <v>287686.19235322869</v>
      </c>
      <c r="F21" s="559">
        <f t="shared" si="3"/>
        <v>267002.44376352365</v>
      </c>
      <c r="G21" s="559">
        <f t="shared" si="4"/>
        <v>285484.67014454748</v>
      </c>
      <c r="H21" s="559">
        <f t="shared" si="5"/>
        <v>247952.1267531779</v>
      </c>
      <c r="I21" s="559">
        <f t="shared" si="6"/>
        <v>268618.08925681625</v>
      </c>
      <c r="J21" s="559">
        <f t="shared" si="7"/>
        <v>277015.8582011587</v>
      </c>
      <c r="K21" s="559">
        <f t="shared" si="8"/>
        <v>272204.4432208041</v>
      </c>
      <c r="L21" s="559">
        <f t="shared" si="9"/>
        <v>278880.05284589401</v>
      </c>
      <c r="M21" s="559">
        <f t="shared" si="10"/>
        <v>270020.65642557951</v>
      </c>
      <c r="N21" s="559">
        <f t="shared" si="11"/>
        <v>291361.32472971955</v>
      </c>
      <c r="O21" s="560">
        <f t="shared" si="12"/>
        <v>3448804.1272583953</v>
      </c>
      <c r="P21" s="561"/>
    </row>
    <row r="22" spans="1:16" x14ac:dyDescent="0.2">
      <c r="A22" s="557" t="s">
        <v>161</v>
      </c>
      <c r="B22" s="558">
        <f>FGP!U26</f>
        <v>3.17466433183007</v>
      </c>
      <c r="C22" s="559">
        <f t="shared" si="0"/>
        <v>46784.536978874392</v>
      </c>
      <c r="D22" s="559">
        <f t="shared" si="1"/>
        <v>52253.442332716761</v>
      </c>
      <c r="E22" s="559">
        <f t="shared" si="2"/>
        <v>40553.28836770451</v>
      </c>
      <c r="F22" s="559">
        <f t="shared" si="3"/>
        <v>37637.632200051121</v>
      </c>
      <c r="G22" s="559">
        <f t="shared" si="4"/>
        <v>40242.953817942951</v>
      </c>
      <c r="H22" s="559">
        <f t="shared" si="5"/>
        <v>34952.230468054971</v>
      </c>
      <c r="I22" s="559">
        <f t="shared" si="6"/>
        <v>37865.379444552273</v>
      </c>
      <c r="J22" s="559">
        <f t="shared" si="7"/>
        <v>39049.15939193024</v>
      </c>
      <c r="K22" s="559">
        <f t="shared" si="8"/>
        <v>38370.924897744146</v>
      </c>
      <c r="L22" s="559">
        <f t="shared" si="9"/>
        <v>39311.943025663553</v>
      </c>
      <c r="M22" s="559">
        <f t="shared" si="10"/>
        <v>38063.090396143911</v>
      </c>
      <c r="N22" s="559">
        <f t="shared" si="11"/>
        <v>41071.348347692445</v>
      </c>
      <c r="O22" s="560">
        <f t="shared" si="12"/>
        <v>486155.92966907134</v>
      </c>
      <c r="P22" s="561"/>
    </row>
    <row r="23" spans="1:16" ht="13.5" thickBot="1" x14ac:dyDescent="0.25">
      <c r="A23" s="557" t="s">
        <v>162</v>
      </c>
      <c r="B23" s="558">
        <f>FGP!U27</f>
        <v>4.8315287297240372</v>
      </c>
      <c r="C23" s="559">
        <f t="shared" si="0"/>
        <v>71201.49121087222</v>
      </c>
      <c r="D23" s="559">
        <f t="shared" si="1"/>
        <v>79524.630470763383</v>
      </c>
      <c r="E23" s="559">
        <f t="shared" si="2"/>
        <v>61718.140046761866</v>
      </c>
      <c r="F23" s="559">
        <f t="shared" si="3"/>
        <v>57280.796419981081</v>
      </c>
      <c r="G23" s="559">
        <f t="shared" si="4"/>
        <v>61245.841203080781</v>
      </c>
      <c r="H23" s="559">
        <f t="shared" si="5"/>
        <v>53193.877532556297</v>
      </c>
      <c r="I23" s="559">
        <f t="shared" si="6"/>
        <v>57627.405459522757</v>
      </c>
      <c r="J23" s="559">
        <f t="shared" si="7"/>
        <v>59429.00280261282</v>
      </c>
      <c r="K23" s="559">
        <f t="shared" si="8"/>
        <v>58396.796212676752</v>
      </c>
      <c r="L23" s="559">
        <f t="shared" si="9"/>
        <v>59828.933801097897</v>
      </c>
      <c r="M23" s="559">
        <f t="shared" si="10"/>
        <v>57928.302197870333</v>
      </c>
      <c r="N23" s="559">
        <f t="shared" si="11"/>
        <v>62506.576686168424</v>
      </c>
      <c r="O23" s="560">
        <f t="shared" si="12"/>
        <v>739881.79404396471</v>
      </c>
      <c r="P23" s="561"/>
    </row>
    <row r="24" spans="1:16" ht="13.5" thickBot="1" x14ac:dyDescent="0.25">
      <c r="A24" s="562" t="s">
        <v>280</v>
      </c>
      <c r="B24" s="591">
        <f>SUM(B4:B23)</f>
        <v>100</v>
      </c>
      <c r="C24" s="564">
        <f>'X22.55 POE'!B85</f>
        <v>1473684.5250000001</v>
      </c>
      <c r="D24" s="564">
        <f>'X22.55 POE'!C85</f>
        <v>1645951.7250000001</v>
      </c>
      <c r="E24" s="564">
        <f>'X22.55 POE'!D85</f>
        <v>1277403.9750000001</v>
      </c>
      <c r="F24" s="564">
        <f>'X22.55 POE'!E85</f>
        <v>1185562.575</v>
      </c>
      <c r="G24" s="564">
        <f>'X22.55 POE'!F85</f>
        <v>1267628.625</v>
      </c>
      <c r="H24" s="564">
        <f>'X22.55 POE'!G85</f>
        <v>1100974.0500000003</v>
      </c>
      <c r="I24" s="564">
        <f>'X22.55 POE'!H85</f>
        <v>1192736.4749999999</v>
      </c>
      <c r="J24" s="564">
        <f>'X22.55 POE'!I85</f>
        <v>1230024.8250000002</v>
      </c>
      <c r="K24" s="564">
        <f>'X22.55 POE'!J85</f>
        <v>1208660.8500000001</v>
      </c>
      <c r="L24" s="564">
        <f>'X22.55 POE'!K85</f>
        <v>1238302.3499999999</v>
      </c>
      <c r="M24" s="564">
        <f>'X22.55 POE'!L85</f>
        <v>1198964.25</v>
      </c>
      <c r="N24" s="564">
        <f>'X22.55 POE'!M85</f>
        <v>1293722.55</v>
      </c>
      <c r="O24" s="564">
        <f>SUM(C24:N24)</f>
        <v>15313616.774999999</v>
      </c>
    </row>
    <row r="25" spans="1:16" x14ac:dyDescent="0.2">
      <c r="A25" s="566" t="s">
        <v>281</v>
      </c>
      <c r="O25" s="561"/>
    </row>
  </sheetData>
  <mergeCells count="1">
    <mergeCell ref="A1:O1"/>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R32"/>
  <sheetViews>
    <sheetView workbookViewId="0">
      <selection sqref="A1:O1"/>
    </sheetView>
  </sheetViews>
  <sheetFormatPr baseColWidth="10" defaultRowHeight="15" x14ac:dyDescent="0.25"/>
  <cols>
    <col min="1" max="1" width="16.5703125" customWidth="1"/>
    <col min="2" max="2" width="9.28515625" hidden="1" customWidth="1"/>
    <col min="3" max="10" width="9.7109375" customWidth="1"/>
    <col min="11" max="11" width="10.42578125" bestFit="1" customWidth="1"/>
    <col min="12" max="15" width="9.7109375" customWidth="1"/>
    <col min="16" max="16" width="12.7109375" bestFit="1" customWidth="1"/>
  </cols>
  <sheetData>
    <row r="1" spans="1:17" s="552" customFormat="1" ht="12.75" x14ac:dyDescent="0.2">
      <c r="A1" s="1215" t="s">
        <v>493</v>
      </c>
      <c r="B1" s="1215"/>
      <c r="C1" s="1215"/>
      <c r="D1" s="1215"/>
      <c r="E1" s="1215"/>
      <c r="F1" s="1215"/>
      <c r="G1" s="1215"/>
      <c r="H1" s="1215"/>
      <c r="I1" s="1215"/>
      <c r="J1" s="1215"/>
      <c r="K1" s="1215"/>
      <c r="L1" s="1215"/>
      <c r="M1" s="1215"/>
      <c r="N1" s="1215"/>
      <c r="O1" s="1215"/>
    </row>
    <row r="2" spans="1:17" s="552" customFormat="1" ht="13.5" thickBot="1" x14ac:dyDescent="0.25"/>
    <row r="3" spans="1:17" s="552" customFormat="1" ht="23.25" customHeight="1" thickBot="1" x14ac:dyDescent="0.25">
      <c r="A3" s="847" t="s">
        <v>307</v>
      </c>
      <c r="B3" s="848" t="s">
        <v>273</v>
      </c>
      <c r="C3" s="847" t="s">
        <v>1</v>
      </c>
      <c r="D3" s="849" t="s">
        <v>2</v>
      </c>
      <c r="E3" s="847" t="s">
        <v>3</v>
      </c>
      <c r="F3" s="849" t="s">
        <v>4</v>
      </c>
      <c r="G3" s="847" t="s">
        <v>5</v>
      </c>
      <c r="H3" s="847" t="s">
        <v>6</v>
      </c>
      <c r="I3" s="847" t="s">
        <v>7</v>
      </c>
      <c r="J3" s="849" t="s">
        <v>8</v>
      </c>
      <c r="K3" s="847" t="s">
        <v>9</v>
      </c>
      <c r="L3" s="849" t="s">
        <v>10</v>
      </c>
      <c r="M3" s="847" t="s">
        <v>11</v>
      </c>
      <c r="N3" s="847" t="s">
        <v>12</v>
      </c>
      <c r="O3" s="850" t="s">
        <v>165</v>
      </c>
    </row>
    <row r="4" spans="1:17" s="552" customFormat="1" ht="12.75" customHeight="1" x14ac:dyDescent="0.2">
      <c r="A4" s="557" t="s">
        <v>274</v>
      </c>
      <c r="B4" s="558">
        <f>FGP!U8</f>
        <v>3.8084072470153756</v>
      </c>
      <c r="C4" s="559">
        <f>$C$24*B4/100</f>
        <v>9446.8103502285303</v>
      </c>
      <c r="D4" s="559">
        <f>$D$24*B4/100</f>
        <v>9446.8103502285303</v>
      </c>
      <c r="E4" s="559">
        <f>$E$24*B4/100</f>
        <v>9446.8103502285303</v>
      </c>
      <c r="F4" s="559">
        <f>$F$24*B4/100</f>
        <v>9446.8103502285303</v>
      </c>
      <c r="G4" s="559">
        <f>$G$24*B4/100</f>
        <v>9446.8103502285303</v>
      </c>
      <c r="H4" s="559">
        <f>$H$24*B4/100</f>
        <v>9446.8103502285303</v>
      </c>
      <c r="I4" s="559">
        <f>$I$24*B4/100</f>
        <v>9446.8103502285303</v>
      </c>
      <c r="J4" s="559">
        <f>$J$24*B4/100</f>
        <v>9446.8103502285303</v>
      </c>
      <c r="K4" s="559">
        <f>$K$24*B4/100</f>
        <v>9446.8103502285303</v>
      </c>
      <c r="L4" s="559">
        <f>$L$24*B4/100</f>
        <v>9446.8103502285303</v>
      </c>
      <c r="M4" s="559">
        <f>$M$24*B4/100</f>
        <v>9446.8103502285303</v>
      </c>
      <c r="N4" s="559">
        <f>$N$24*B4/100</f>
        <v>9446.8103502285303</v>
      </c>
      <c r="O4" s="560">
        <f>SUM(C4:N4)</f>
        <v>113361.72420274239</v>
      </c>
      <c r="P4" s="561"/>
      <c r="Q4" s="561"/>
    </row>
    <row r="5" spans="1:17" s="552" customFormat="1" ht="12.75" customHeight="1" x14ac:dyDescent="0.2">
      <c r="A5" s="557" t="s">
        <v>144</v>
      </c>
      <c r="B5" s="558">
        <f>FGP!U9</f>
        <v>2.8691330261854757</v>
      </c>
      <c r="C5" s="559">
        <f t="shared" ref="C5:C23" si="0">$C$24*B5/100</f>
        <v>7116.9267911652069</v>
      </c>
      <c r="D5" s="559">
        <f t="shared" ref="D5:D23" si="1">$D$24*B5/100</f>
        <v>7116.9267911652069</v>
      </c>
      <c r="E5" s="559">
        <f t="shared" ref="E5:E23" si="2">$E$24*B5/100</f>
        <v>7116.9267911652069</v>
      </c>
      <c r="F5" s="559">
        <f t="shared" ref="F5:F23" si="3">$F$24*B5/100</f>
        <v>7116.9267911652069</v>
      </c>
      <c r="G5" s="559">
        <f t="shared" ref="G5:G23" si="4">$G$24*B5/100</f>
        <v>7116.9267911652069</v>
      </c>
      <c r="H5" s="559">
        <f t="shared" ref="H5:H23" si="5">$H$24*B5/100</f>
        <v>7116.9267911652069</v>
      </c>
      <c r="I5" s="559">
        <f t="shared" ref="I5:I23" si="6">$I$24*B5/100</f>
        <v>7116.9267911652069</v>
      </c>
      <c r="J5" s="559">
        <f t="shared" ref="J5:J23" si="7">$J$24*B5/100</f>
        <v>7116.9267911652069</v>
      </c>
      <c r="K5" s="559">
        <f t="shared" ref="K5:K23" si="8">$K$24*B5/100</f>
        <v>7116.9267911652069</v>
      </c>
      <c r="L5" s="559">
        <f t="shared" ref="L5:L23" si="9">$L$24*B5/100</f>
        <v>7116.9267911652069</v>
      </c>
      <c r="M5" s="559">
        <f t="shared" ref="M5:M23" si="10">$M$24*B5/100</f>
        <v>7116.9267911652069</v>
      </c>
      <c r="N5" s="559">
        <f t="shared" ref="N5:N23" si="11">$N$24*B5/100</f>
        <v>7116.9267911652069</v>
      </c>
      <c r="O5" s="560">
        <f t="shared" ref="O5:O23" si="12">SUM(C5:N5)</f>
        <v>85403.1214939825</v>
      </c>
      <c r="P5" s="561"/>
    </row>
    <row r="6" spans="1:17" s="552" customFormat="1" ht="12.75" customHeight="1" x14ac:dyDescent="0.2">
      <c r="A6" s="557" t="s">
        <v>145</v>
      </c>
      <c r="B6" s="558">
        <f>FGP!U10</f>
        <v>2.8805714770770665</v>
      </c>
      <c r="C6" s="559">
        <f t="shared" si="0"/>
        <v>7145.3000373189489</v>
      </c>
      <c r="D6" s="559">
        <f t="shared" si="1"/>
        <v>7145.3000373189489</v>
      </c>
      <c r="E6" s="559">
        <f t="shared" si="2"/>
        <v>7145.3000373189489</v>
      </c>
      <c r="F6" s="559">
        <f t="shared" si="3"/>
        <v>7145.3000373189489</v>
      </c>
      <c r="G6" s="559">
        <f t="shared" si="4"/>
        <v>7145.3000373189489</v>
      </c>
      <c r="H6" s="559">
        <f t="shared" si="5"/>
        <v>7145.3000373189489</v>
      </c>
      <c r="I6" s="559">
        <f t="shared" si="6"/>
        <v>7145.3000373189489</v>
      </c>
      <c r="J6" s="559">
        <f t="shared" si="7"/>
        <v>7145.3000373189489</v>
      </c>
      <c r="K6" s="559">
        <f t="shared" si="8"/>
        <v>7145.3000373189489</v>
      </c>
      <c r="L6" s="559">
        <f t="shared" si="9"/>
        <v>7145.3000373189489</v>
      </c>
      <c r="M6" s="559">
        <f t="shared" si="10"/>
        <v>7145.3000373189489</v>
      </c>
      <c r="N6" s="559">
        <f t="shared" si="11"/>
        <v>7145.3000373189489</v>
      </c>
      <c r="O6" s="560">
        <f t="shared" si="12"/>
        <v>85743.600447827368</v>
      </c>
      <c r="P6" s="561"/>
    </row>
    <row r="7" spans="1:17" s="552" customFormat="1" ht="12.75" customHeight="1" x14ac:dyDescent="0.2">
      <c r="A7" s="557" t="s">
        <v>275</v>
      </c>
      <c r="B7" s="558">
        <f>FGP!U11</f>
        <v>10.639066083702961</v>
      </c>
      <c r="C7" s="559">
        <f t="shared" si="0"/>
        <v>26390.360346849924</v>
      </c>
      <c r="D7" s="559">
        <f t="shared" si="1"/>
        <v>26390.360346849924</v>
      </c>
      <c r="E7" s="559">
        <f t="shared" si="2"/>
        <v>26390.360346849924</v>
      </c>
      <c r="F7" s="559">
        <f t="shared" si="3"/>
        <v>26390.360346849924</v>
      </c>
      <c r="G7" s="559">
        <f t="shared" si="4"/>
        <v>26390.360346849924</v>
      </c>
      <c r="H7" s="559">
        <f t="shared" si="5"/>
        <v>26390.360346849924</v>
      </c>
      <c r="I7" s="559">
        <f t="shared" si="6"/>
        <v>26390.360346849924</v>
      </c>
      <c r="J7" s="559">
        <f t="shared" si="7"/>
        <v>26390.360346849924</v>
      </c>
      <c r="K7" s="559">
        <f t="shared" si="8"/>
        <v>26390.360346849924</v>
      </c>
      <c r="L7" s="559">
        <f t="shared" si="9"/>
        <v>26390.360346849924</v>
      </c>
      <c r="M7" s="559">
        <f t="shared" si="10"/>
        <v>26390.360346849924</v>
      </c>
      <c r="N7" s="559">
        <f t="shared" si="11"/>
        <v>26390.360346849924</v>
      </c>
      <c r="O7" s="560">
        <f t="shared" si="12"/>
        <v>316684.32416219916</v>
      </c>
      <c r="P7" s="561"/>
    </row>
    <row r="8" spans="1:17" s="552" customFormat="1" ht="12.75" customHeight="1" x14ac:dyDescent="0.2">
      <c r="A8" s="557" t="s">
        <v>147</v>
      </c>
      <c r="B8" s="558">
        <f>FGP!U12</f>
        <v>5.6047496625614732</v>
      </c>
      <c r="C8" s="559">
        <f t="shared" si="0"/>
        <v>13902.664208041255</v>
      </c>
      <c r="D8" s="559">
        <f t="shared" si="1"/>
        <v>13902.664208041255</v>
      </c>
      <c r="E8" s="559">
        <f t="shared" si="2"/>
        <v>13902.664208041255</v>
      </c>
      <c r="F8" s="559">
        <f t="shared" si="3"/>
        <v>13902.664208041255</v>
      </c>
      <c r="G8" s="559">
        <f t="shared" si="4"/>
        <v>13902.664208041255</v>
      </c>
      <c r="H8" s="559">
        <f t="shared" si="5"/>
        <v>13902.664208041255</v>
      </c>
      <c r="I8" s="559">
        <f t="shared" si="6"/>
        <v>13902.664208041255</v>
      </c>
      <c r="J8" s="559">
        <f t="shared" si="7"/>
        <v>13902.664208041255</v>
      </c>
      <c r="K8" s="559">
        <f t="shared" si="8"/>
        <v>13902.664208041255</v>
      </c>
      <c r="L8" s="559">
        <f t="shared" si="9"/>
        <v>13902.664208041255</v>
      </c>
      <c r="M8" s="559">
        <f t="shared" si="10"/>
        <v>13902.664208041255</v>
      </c>
      <c r="N8" s="559">
        <f t="shared" si="11"/>
        <v>13902.664208041255</v>
      </c>
      <c r="O8" s="560">
        <f t="shared" si="12"/>
        <v>166831.97049649502</v>
      </c>
      <c r="P8" s="561"/>
    </row>
    <row r="9" spans="1:17" s="552" customFormat="1" ht="12.75" customHeight="1" x14ac:dyDescent="0.2">
      <c r="A9" s="557" t="s">
        <v>276</v>
      </c>
      <c r="B9" s="558">
        <f>FGP!U13</f>
        <v>3.6620290349041662</v>
      </c>
      <c r="C9" s="559">
        <f t="shared" si="0"/>
        <v>9083.7170360080472</v>
      </c>
      <c r="D9" s="559">
        <f t="shared" si="1"/>
        <v>9083.7170360080472</v>
      </c>
      <c r="E9" s="559">
        <f t="shared" si="2"/>
        <v>9083.7170360080472</v>
      </c>
      <c r="F9" s="559">
        <f t="shared" si="3"/>
        <v>9083.7170360080472</v>
      </c>
      <c r="G9" s="559">
        <f t="shared" si="4"/>
        <v>9083.7170360080472</v>
      </c>
      <c r="H9" s="559">
        <f t="shared" si="5"/>
        <v>9083.7170360080472</v>
      </c>
      <c r="I9" s="559">
        <f t="shared" si="6"/>
        <v>9083.7170360080472</v>
      </c>
      <c r="J9" s="559">
        <f t="shared" si="7"/>
        <v>9083.7170360080472</v>
      </c>
      <c r="K9" s="559">
        <f t="shared" si="8"/>
        <v>9083.7170360080472</v>
      </c>
      <c r="L9" s="559">
        <f t="shared" si="9"/>
        <v>9083.7170360080472</v>
      </c>
      <c r="M9" s="559">
        <f t="shared" si="10"/>
        <v>9083.7170360080472</v>
      </c>
      <c r="N9" s="559">
        <f t="shared" si="11"/>
        <v>9083.7170360080472</v>
      </c>
      <c r="O9" s="560">
        <f t="shared" si="12"/>
        <v>109004.60443209657</v>
      </c>
      <c r="P9" s="561"/>
    </row>
    <row r="10" spans="1:17" s="552" customFormat="1" ht="12.75" customHeight="1" x14ac:dyDescent="0.2">
      <c r="A10" s="557" t="s">
        <v>149</v>
      </c>
      <c r="B10" s="558">
        <f>FGP!U14</f>
        <v>3.0697485567960188</v>
      </c>
      <c r="C10" s="559">
        <f t="shared" si="0"/>
        <v>7614.5565739237354</v>
      </c>
      <c r="D10" s="559">
        <f t="shared" si="1"/>
        <v>7614.5565739237354</v>
      </c>
      <c r="E10" s="559">
        <f t="shared" si="2"/>
        <v>7614.5565739237354</v>
      </c>
      <c r="F10" s="559">
        <f t="shared" si="3"/>
        <v>7614.5565739237354</v>
      </c>
      <c r="G10" s="559">
        <f t="shared" si="4"/>
        <v>7614.5565739237354</v>
      </c>
      <c r="H10" s="559">
        <f t="shared" si="5"/>
        <v>7614.5565739237354</v>
      </c>
      <c r="I10" s="559">
        <f t="shared" si="6"/>
        <v>7614.5565739237354</v>
      </c>
      <c r="J10" s="559">
        <f t="shared" si="7"/>
        <v>7614.5565739237354</v>
      </c>
      <c r="K10" s="559">
        <f t="shared" si="8"/>
        <v>7614.5565739237354</v>
      </c>
      <c r="L10" s="559">
        <f t="shared" si="9"/>
        <v>7614.5565739237354</v>
      </c>
      <c r="M10" s="559">
        <f t="shared" si="10"/>
        <v>7614.5565739237354</v>
      </c>
      <c r="N10" s="559">
        <f t="shared" si="11"/>
        <v>7614.5565739237354</v>
      </c>
      <c r="O10" s="560">
        <f t="shared" si="12"/>
        <v>91374.678887084825</v>
      </c>
      <c r="P10" s="561"/>
    </row>
    <row r="11" spans="1:17" s="552" customFormat="1" ht="12.75" customHeight="1" x14ac:dyDescent="0.2">
      <c r="A11" s="557" t="s">
        <v>150</v>
      </c>
      <c r="B11" s="558">
        <f>FGP!U15</f>
        <v>3.4287748252403007</v>
      </c>
      <c r="C11" s="559">
        <f t="shared" si="0"/>
        <v>8505.1265284372366</v>
      </c>
      <c r="D11" s="559">
        <f t="shared" si="1"/>
        <v>8505.1265284372366</v>
      </c>
      <c r="E11" s="559">
        <f t="shared" si="2"/>
        <v>8505.1265284372366</v>
      </c>
      <c r="F11" s="559">
        <f t="shared" si="3"/>
        <v>8505.1265284372366</v>
      </c>
      <c r="G11" s="559">
        <f t="shared" si="4"/>
        <v>8505.1265284372366</v>
      </c>
      <c r="H11" s="559">
        <f t="shared" si="5"/>
        <v>8505.1265284372366</v>
      </c>
      <c r="I11" s="559">
        <f t="shared" si="6"/>
        <v>8505.1265284372366</v>
      </c>
      <c r="J11" s="559">
        <f t="shared" si="7"/>
        <v>8505.1265284372366</v>
      </c>
      <c r="K11" s="559">
        <f t="shared" si="8"/>
        <v>8505.1265284372366</v>
      </c>
      <c r="L11" s="559">
        <f t="shared" si="9"/>
        <v>8505.1265284372366</v>
      </c>
      <c r="M11" s="559">
        <f t="shared" si="10"/>
        <v>8505.1265284372366</v>
      </c>
      <c r="N11" s="559">
        <f t="shared" si="11"/>
        <v>8505.1265284372366</v>
      </c>
      <c r="O11" s="560">
        <f t="shared" si="12"/>
        <v>102061.51834124683</v>
      </c>
      <c r="P11" s="561"/>
    </row>
    <row r="12" spans="1:17" s="552" customFormat="1" ht="12.75" customHeight="1" x14ac:dyDescent="0.2">
      <c r="A12" s="557" t="s">
        <v>151</v>
      </c>
      <c r="B12" s="558">
        <f>FGP!U16</f>
        <v>2.8577348059446361</v>
      </c>
      <c r="C12" s="559">
        <f t="shared" si="0"/>
        <v>7088.6533377340565</v>
      </c>
      <c r="D12" s="559">
        <f t="shared" si="1"/>
        <v>7088.6533377340565</v>
      </c>
      <c r="E12" s="559">
        <f t="shared" si="2"/>
        <v>7088.6533377340565</v>
      </c>
      <c r="F12" s="559">
        <f t="shared" si="3"/>
        <v>7088.6533377340565</v>
      </c>
      <c r="G12" s="559">
        <f t="shared" si="4"/>
        <v>7088.6533377340565</v>
      </c>
      <c r="H12" s="559">
        <f t="shared" si="5"/>
        <v>7088.6533377340565</v>
      </c>
      <c r="I12" s="559">
        <f t="shared" si="6"/>
        <v>7088.6533377340565</v>
      </c>
      <c r="J12" s="559">
        <f t="shared" si="7"/>
        <v>7088.6533377340565</v>
      </c>
      <c r="K12" s="559">
        <f t="shared" si="8"/>
        <v>7088.6533377340565</v>
      </c>
      <c r="L12" s="559">
        <f t="shared" si="9"/>
        <v>7088.6533377340565</v>
      </c>
      <c r="M12" s="559">
        <f t="shared" si="10"/>
        <v>7088.6533377340565</v>
      </c>
      <c r="N12" s="559">
        <f t="shared" si="11"/>
        <v>7088.6533377340565</v>
      </c>
      <c r="O12" s="560">
        <f t="shared" si="12"/>
        <v>85063.840052808649</v>
      </c>
      <c r="P12" s="561"/>
    </row>
    <row r="13" spans="1:17" s="552" customFormat="1" ht="12.75" customHeight="1" x14ac:dyDescent="0.2">
      <c r="A13" s="557" t="s">
        <v>152</v>
      </c>
      <c r="B13" s="558">
        <f>FGP!U17</f>
        <v>3.0578406083142733</v>
      </c>
      <c r="C13" s="559">
        <f t="shared" si="0"/>
        <v>7585.0187320725263</v>
      </c>
      <c r="D13" s="559">
        <f t="shared" si="1"/>
        <v>7585.0187320725263</v>
      </c>
      <c r="E13" s="559">
        <f t="shared" si="2"/>
        <v>7585.0187320725263</v>
      </c>
      <c r="F13" s="559">
        <f t="shared" si="3"/>
        <v>7585.0187320725263</v>
      </c>
      <c r="G13" s="559">
        <f t="shared" si="4"/>
        <v>7585.0187320725263</v>
      </c>
      <c r="H13" s="559">
        <f t="shared" si="5"/>
        <v>7585.0187320725263</v>
      </c>
      <c r="I13" s="559">
        <f t="shared" si="6"/>
        <v>7585.0187320725263</v>
      </c>
      <c r="J13" s="559">
        <f t="shared" si="7"/>
        <v>7585.0187320725263</v>
      </c>
      <c r="K13" s="559">
        <f t="shared" si="8"/>
        <v>7585.0187320725263</v>
      </c>
      <c r="L13" s="559">
        <f t="shared" si="9"/>
        <v>7585.0187320725263</v>
      </c>
      <c r="M13" s="559">
        <f t="shared" si="10"/>
        <v>7585.0187320725263</v>
      </c>
      <c r="N13" s="559">
        <f t="shared" si="11"/>
        <v>7585.0187320725263</v>
      </c>
      <c r="O13" s="560">
        <f t="shared" si="12"/>
        <v>91020.224784870297</v>
      </c>
      <c r="P13" s="561"/>
    </row>
    <row r="14" spans="1:17" s="552" customFormat="1" ht="12.75" customHeight="1" x14ac:dyDescent="0.25">
      <c r="A14" s="557" t="s">
        <v>153</v>
      </c>
      <c r="B14" s="558">
        <f>FGP!U18</f>
        <v>3.5047212504004186</v>
      </c>
      <c r="C14" s="559">
        <f t="shared" si="0"/>
        <v>8693.5127562566795</v>
      </c>
      <c r="D14" s="559">
        <f t="shared" si="1"/>
        <v>8693.5127562566795</v>
      </c>
      <c r="E14" s="559">
        <f t="shared" si="2"/>
        <v>8693.5127562566795</v>
      </c>
      <c r="F14" s="559">
        <f t="shared" si="3"/>
        <v>8693.5127562566795</v>
      </c>
      <c r="G14" s="559">
        <f t="shared" si="4"/>
        <v>8693.5127562566795</v>
      </c>
      <c r="H14" s="559">
        <f t="shared" si="5"/>
        <v>8693.5127562566795</v>
      </c>
      <c r="I14" s="559">
        <f t="shared" si="6"/>
        <v>8693.5127562566795</v>
      </c>
      <c r="J14" s="559">
        <f t="shared" si="7"/>
        <v>8693.5127562566795</v>
      </c>
      <c r="K14" s="559">
        <f t="shared" si="8"/>
        <v>8693.5127562566795</v>
      </c>
      <c r="L14" s="559">
        <f t="shared" si="9"/>
        <v>8693.5127562566795</v>
      </c>
      <c r="M14" s="559">
        <f t="shared" si="10"/>
        <v>8693.5127562566795</v>
      </c>
      <c r="N14" s="559">
        <f t="shared" si="11"/>
        <v>8693.5127562566795</v>
      </c>
      <c r="O14" s="560">
        <f t="shared" si="12"/>
        <v>104322.15307508015</v>
      </c>
      <c r="P14" s="561"/>
      <c r="Q14"/>
    </row>
    <row r="15" spans="1:17" s="552" customFormat="1" ht="12.75" customHeight="1" x14ac:dyDescent="0.25">
      <c r="A15" s="557" t="s">
        <v>154</v>
      </c>
      <c r="B15" s="558">
        <f>FGP!U19</f>
        <v>2.9571648841167448</v>
      </c>
      <c r="C15" s="559">
        <f t="shared" si="0"/>
        <v>7335.2911132336249</v>
      </c>
      <c r="D15" s="559">
        <f t="shared" si="1"/>
        <v>7335.2911132336249</v>
      </c>
      <c r="E15" s="559">
        <f t="shared" si="2"/>
        <v>7335.2911132336249</v>
      </c>
      <c r="F15" s="559">
        <f t="shared" si="3"/>
        <v>7335.2911132336249</v>
      </c>
      <c r="G15" s="559">
        <f t="shared" si="4"/>
        <v>7335.2911132336249</v>
      </c>
      <c r="H15" s="559">
        <f t="shared" si="5"/>
        <v>7335.2911132336249</v>
      </c>
      <c r="I15" s="559">
        <f t="shared" si="6"/>
        <v>7335.2911132336249</v>
      </c>
      <c r="J15" s="559">
        <f t="shared" si="7"/>
        <v>7335.2911132336249</v>
      </c>
      <c r="K15" s="559">
        <f t="shared" si="8"/>
        <v>7335.2911132336249</v>
      </c>
      <c r="L15" s="559">
        <f t="shared" si="9"/>
        <v>7335.2911132336249</v>
      </c>
      <c r="M15" s="559">
        <f t="shared" si="10"/>
        <v>7335.2911132336249</v>
      </c>
      <c r="N15" s="559">
        <f t="shared" si="11"/>
        <v>7335.2911132336249</v>
      </c>
      <c r="O15" s="560">
        <f t="shared" si="12"/>
        <v>88023.493358803506</v>
      </c>
      <c r="P15" s="561"/>
      <c r="Q15"/>
    </row>
    <row r="16" spans="1:17" s="552" customFormat="1" ht="12.75" customHeight="1" x14ac:dyDescent="0.25">
      <c r="A16" s="557" t="s">
        <v>155</v>
      </c>
      <c r="B16" s="558">
        <f>FGP!U20</f>
        <v>4.2498259986183484</v>
      </c>
      <c r="C16" s="559">
        <f t="shared" si="0"/>
        <v>10541.756074506291</v>
      </c>
      <c r="D16" s="559">
        <f t="shared" si="1"/>
        <v>10541.756074506291</v>
      </c>
      <c r="E16" s="559">
        <f t="shared" si="2"/>
        <v>10541.756074506291</v>
      </c>
      <c r="F16" s="559">
        <f t="shared" si="3"/>
        <v>10541.756074506291</v>
      </c>
      <c r="G16" s="559">
        <f t="shared" si="4"/>
        <v>10541.756074506291</v>
      </c>
      <c r="H16" s="559">
        <f t="shared" si="5"/>
        <v>10541.756074506291</v>
      </c>
      <c r="I16" s="559">
        <f t="shared" si="6"/>
        <v>10541.756074506291</v>
      </c>
      <c r="J16" s="559">
        <f t="shared" si="7"/>
        <v>10541.756074506291</v>
      </c>
      <c r="K16" s="559">
        <f t="shared" si="8"/>
        <v>10541.756074506291</v>
      </c>
      <c r="L16" s="559">
        <f t="shared" si="9"/>
        <v>10541.756074506291</v>
      </c>
      <c r="M16" s="559">
        <f t="shared" si="10"/>
        <v>10541.756074506291</v>
      </c>
      <c r="N16" s="559">
        <f t="shared" si="11"/>
        <v>10541.756074506291</v>
      </c>
      <c r="O16" s="560">
        <f t="shared" si="12"/>
        <v>126501.07289407552</v>
      </c>
      <c r="P16" s="561"/>
      <c r="Q16"/>
    </row>
    <row r="17" spans="1:18" s="552" customFormat="1" ht="12.75" customHeight="1" x14ac:dyDescent="0.25">
      <c r="A17" s="557" t="s">
        <v>277</v>
      </c>
      <c r="B17" s="558">
        <f>FGP!U21</f>
        <v>2.5967637526947485</v>
      </c>
      <c r="C17" s="559">
        <f t="shared" si="0"/>
        <v>6441.3107908246748</v>
      </c>
      <c r="D17" s="559">
        <f t="shared" si="1"/>
        <v>6441.3107908246748</v>
      </c>
      <c r="E17" s="559">
        <f t="shared" si="2"/>
        <v>6441.3107908246748</v>
      </c>
      <c r="F17" s="559">
        <f t="shared" si="3"/>
        <v>6441.3107908246748</v>
      </c>
      <c r="G17" s="559">
        <f t="shared" si="4"/>
        <v>6441.3107908246748</v>
      </c>
      <c r="H17" s="559">
        <f t="shared" si="5"/>
        <v>6441.3107908246748</v>
      </c>
      <c r="I17" s="559">
        <f t="shared" si="6"/>
        <v>6441.3107908246748</v>
      </c>
      <c r="J17" s="559">
        <f t="shared" si="7"/>
        <v>6441.3107908246748</v>
      </c>
      <c r="K17" s="559">
        <f t="shared" si="8"/>
        <v>6441.3107908246748</v>
      </c>
      <c r="L17" s="559">
        <f t="shared" si="9"/>
        <v>6441.3107908246748</v>
      </c>
      <c r="M17" s="559">
        <f t="shared" si="10"/>
        <v>6441.3107908246748</v>
      </c>
      <c r="N17" s="559">
        <f t="shared" si="11"/>
        <v>6441.3107908246748</v>
      </c>
      <c r="O17" s="560">
        <f t="shared" si="12"/>
        <v>77295.729489896097</v>
      </c>
      <c r="P17" s="561"/>
      <c r="Q17"/>
    </row>
    <row r="18" spans="1:18" s="552" customFormat="1" ht="12.75" customHeight="1" x14ac:dyDescent="0.25">
      <c r="A18" s="557" t="s">
        <v>278</v>
      </c>
      <c r="B18" s="558">
        <f>FGP!U22</f>
        <v>3.2386593121117824</v>
      </c>
      <c r="C18" s="559">
        <f t="shared" si="0"/>
        <v>8033.5421939181279</v>
      </c>
      <c r="D18" s="559">
        <f t="shared" si="1"/>
        <v>8033.5421939181279</v>
      </c>
      <c r="E18" s="559">
        <f t="shared" si="2"/>
        <v>8033.5421939181279</v>
      </c>
      <c r="F18" s="559">
        <f t="shared" si="3"/>
        <v>8033.5421939181279</v>
      </c>
      <c r="G18" s="559">
        <f t="shared" si="4"/>
        <v>8033.5421939181279</v>
      </c>
      <c r="H18" s="559">
        <f t="shared" si="5"/>
        <v>8033.5421939181279</v>
      </c>
      <c r="I18" s="559">
        <f t="shared" si="6"/>
        <v>8033.5421939181279</v>
      </c>
      <c r="J18" s="559">
        <f t="shared" si="7"/>
        <v>8033.5421939181279</v>
      </c>
      <c r="K18" s="559">
        <f t="shared" si="8"/>
        <v>8033.5421939181279</v>
      </c>
      <c r="L18" s="559">
        <f t="shared" si="9"/>
        <v>8033.5421939181279</v>
      </c>
      <c r="M18" s="559">
        <f t="shared" si="10"/>
        <v>8033.5421939181279</v>
      </c>
      <c r="N18" s="559">
        <f t="shared" si="11"/>
        <v>8033.5421939181279</v>
      </c>
      <c r="O18" s="560">
        <f t="shared" si="12"/>
        <v>96402.506327017516</v>
      </c>
      <c r="P18" s="561"/>
      <c r="Q18"/>
    </row>
    <row r="19" spans="1:18" s="552" customFormat="1" ht="12.75" customHeight="1" x14ac:dyDescent="0.25">
      <c r="A19" s="557" t="s">
        <v>279</v>
      </c>
      <c r="B19" s="558">
        <f>FGP!U23</f>
        <v>6.5756833314824163</v>
      </c>
      <c r="C19" s="559">
        <f t="shared" si="0"/>
        <v>16311.07949507127</v>
      </c>
      <c r="D19" s="559">
        <f t="shared" si="1"/>
        <v>16311.07949507127</v>
      </c>
      <c r="E19" s="559">
        <f t="shared" si="2"/>
        <v>16311.07949507127</v>
      </c>
      <c r="F19" s="559">
        <f t="shared" si="3"/>
        <v>16311.07949507127</v>
      </c>
      <c r="G19" s="559">
        <f t="shared" si="4"/>
        <v>16311.07949507127</v>
      </c>
      <c r="H19" s="559">
        <f t="shared" si="5"/>
        <v>16311.07949507127</v>
      </c>
      <c r="I19" s="559">
        <f t="shared" si="6"/>
        <v>16311.07949507127</v>
      </c>
      <c r="J19" s="559">
        <f t="shared" si="7"/>
        <v>16311.07949507127</v>
      </c>
      <c r="K19" s="559">
        <f t="shared" si="8"/>
        <v>16311.07949507127</v>
      </c>
      <c r="L19" s="559">
        <f t="shared" si="9"/>
        <v>16311.07949507127</v>
      </c>
      <c r="M19" s="559">
        <f t="shared" si="10"/>
        <v>16311.07949507127</v>
      </c>
      <c r="N19" s="559">
        <f t="shared" si="11"/>
        <v>16311.07949507127</v>
      </c>
      <c r="O19" s="560">
        <f t="shared" si="12"/>
        <v>195732.95394085522</v>
      </c>
      <c r="P19" s="561"/>
      <c r="Q19"/>
    </row>
    <row r="20" spans="1:18" s="552" customFormat="1" ht="12.75" customHeight="1" x14ac:dyDescent="0.25">
      <c r="A20" s="557" t="s">
        <v>159</v>
      </c>
      <c r="B20" s="558">
        <f>FGP!U24</f>
        <v>4.4717731363038817</v>
      </c>
      <c r="C20" s="559">
        <f t="shared" si="0"/>
        <v>11092.299223255535</v>
      </c>
      <c r="D20" s="559">
        <f t="shared" si="1"/>
        <v>11092.299223255535</v>
      </c>
      <c r="E20" s="559">
        <f t="shared" si="2"/>
        <v>11092.299223255535</v>
      </c>
      <c r="F20" s="559">
        <f t="shared" si="3"/>
        <v>11092.299223255535</v>
      </c>
      <c r="G20" s="559">
        <f t="shared" si="4"/>
        <v>11092.299223255535</v>
      </c>
      <c r="H20" s="559">
        <f t="shared" si="5"/>
        <v>11092.299223255535</v>
      </c>
      <c r="I20" s="559">
        <f t="shared" si="6"/>
        <v>11092.299223255535</v>
      </c>
      <c r="J20" s="559">
        <f t="shared" si="7"/>
        <v>11092.299223255535</v>
      </c>
      <c r="K20" s="559">
        <f t="shared" si="8"/>
        <v>11092.299223255535</v>
      </c>
      <c r="L20" s="559">
        <f t="shared" si="9"/>
        <v>11092.299223255535</v>
      </c>
      <c r="M20" s="559">
        <f t="shared" si="10"/>
        <v>11092.299223255535</v>
      </c>
      <c r="N20" s="559">
        <f t="shared" si="11"/>
        <v>11092.299223255535</v>
      </c>
      <c r="O20" s="560">
        <f t="shared" si="12"/>
        <v>133107.59067906646</v>
      </c>
      <c r="P20" s="561"/>
      <c r="Q20"/>
    </row>
    <row r="21" spans="1:18" s="552" customFormat="1" ht="12.75" customHeight="1" x14ac:dyDescent="0.25">
      <c r="A21" s="557" t="s">
        <v>160</v>
      </c>
      <c r="B21" s="558">
        <f>FGP!U25</f>
        <v>22.5211599449758</v>
      </c>
      <c r="C21" s="559">
        <f t="shared" si="0"/>
        <v>55864.069430621646</v>
      </c>
      <c r="D21" s="559">
        <f t="shared" si="1"/>
        <v>55864.069430621646</v>
      </c>
      <c r="E21" s="559">
        <f t="shared" si="2"/>
        <v>55864.069430621646</v>
      </c>
      <c r="F21" s="559">
        <f t="shared" si="3"/>
        <v>55864.069430621646</v>
      </c>
      <c r="G21" s="559">
        <f t="shared" si="4"/>
        <v>55864.069430621646</v>
      </c>
      <c r="H21" s="559">
        <f t="shared" si="5"/>
        <v>55864.069430621646</v>
      </c>
      <c r="I21" s="559">
        <f t="shared" si="6"/>
        <v>55864.069430621646</v>
      </c>
      <c r="J21" s="559">
        <f t="shared" si="7"/>
        <v>55864.069430621646</v>
      </c>
      <c r="K21" s="559">
        <f t="shared" si="8"/>
        <v>55864.069430621646</v>
      </c>
      <c r="L21" s="559">
        <f t="shared" si="9"/>
        <v>55864.069430621646</v>
      </c>
      <c r="M21" s="559">
        <f t="shared" si="10"/>
        <v>55864.069430621646</v>
      </c>
      <c r="N21" s="559">
        <f t="shared" si="11"/>
        <v>55864.069430621646</v>
      </c>
      <c r="O21" s="560">
        <f t="shared" si="12"/>
        <v>670368.83316745982</v>
      </c>
      <c r="P21" s="561"/>
      <c r="Q21"/>
    </row>
    <row r="22" spans="1:18" s="552" customFormat="1" ht="12.75" customHeight="1" x14ac:dyDescent="0.25">
      <c r="A22" s="557" t="s">
        <v>161</v>
      </c>
      <c r="B22" s="558">
        <f>FGP!U26</f>
        <v>3.17466433183007</v>
      </c>
      <c r="C22" s="559">
        <f t="shared" si="0"/>
        <v>7874.8017014033812</v>
      </c>
      <c r="D22" s="559">
        <f t="shared" si="1"/>
        <v>7874.8017014033812</v>
      </c>
      <c r="E22" s="559">
        <f t="shared" si="2"/>
        <v>7874.8017014033812</v>
      </c>
      <c r="F22" s="559">
        <f t="shared" si="3"/>
        <v>7874.8017014033812</v>
      </c>
      <c r="G22" s="559">
        <f t="shared" si="4"/>
        <v>7874.8017014033812</v>
      </c>
      <c r="H22" s="559">
        <f t="shared" si="5"/>
        <v>7874.8017014033812</v>
      </c>
      <c r="I22" s="559">
        <f t="shared" si="6"/>
        <v>7874.8017014033812</v>
      </c>
      <c r="J22" s="559">
        <f t="shared" si="7"/>
        <v>7874.8017014033812</v>
      </c>
      <c r="K22" s="559">
        <f t="shared" si="8"/>
        <v>7874.8017014033812</v>
      </c>
      <c r="L22" s="559">
        <f t="shared" si="9"/>
        <v>7874.8017014033812</v>
      </c>
      <c r="M22" s="559">
        <f t="shared" si="10"/>
        <v>7874.8017014033812</v>
      </c>
      <c r="N22" s="559">
        <f t="shared" si="11"/>
        <v>7874.8017014033812</v>
      </c>
      <c r="O22" s="560">
        <f t="shared" si="12"/>
        <v>94497.620416840582</v>
      </c>
      <c r="P22" s="561"/>
      <c r="Q22"/>
    </row>
    <row r="23" spans="1:18" s="552" customFormat="1" ht="12.75" customHeight="1" thickBot="1" x14ac:dyDescent="0.3">
      <c r="A23" s="557" t="s">
        <v>162</v>
      </c>
      <c r="B23" s="558">
        <f>FGP!U27</f>
        <v>4.8315287297240372</v>
      </c>
      <c r="C23" s="559">
        <f t="shared" si="0"/>
        <v>11984.678279129233</v>
      </c>
      <c r="D23" s="559">
        <f t="shared" si="1"/>
        <v>11984.678279129233</v>
      </c>
      <c r="E23" s="559">
        <f t="shared" si="2"/>
        <v>11984.678279129233</v>
      </c>
      <c r="F23" s="559">
        <f t="shared" si="3"/>
        <v>11984.678279129233</v>
      </c>
      <c r="G23" s="559">
        <f t="shared" si="4"/>
        <v>11984.678279129233</v>
      </c>
      <c r="H23" s="559">
        <f t="shared" si="5"/>
        <v>11984.678279129233</v>
      </c>
      <c r="I23" s="559">
        <f t="shared" si="6"/>
        <v>11984.678279129233</v>
      </c>
      <c r="J23" s="559">
        <f t="shared" si="7"/>
        <v>11984.678279129233</v>
      </c>
      <c r="K23" s="559">
        <f t="shared" si="8"/>
        <v>11984.678279129233</v>
      </c>
      <c r="L23" s="559">
        <f t="shared" si="9"/>
        <v>11984.678279129233</v>
      </c>
      <c r="M23" s="559">
        <f t="shared" si="10"/>
        <v>11984.678279129233</v>
      </c>
      <c r="N23" s="559">
        <f t="shared" si="11"/>
        <v>11984.678279129233</v>
      </c>
      <c r="O23" s="560">
        <f t="shared" si="12"/>
        <v>143816.13934955079</v>
      </c>
      <c r="P23" s="561"/>
      <c r="Q23"/>
    </row>
    <row r="24" spans="1:18" s="552" customFormat="1" ht="13.5" customHeight="1" thickBot="1" x14ac:dyDescent="0.3">
      <c r="A24" s="562" t="s">
        <v>280</v>
      </c>
      <c r="B24" s="591">
        <f>SUM(B4:B23)</f>
        <v>100</v>
      </c>
      <c r="C24" s="564">
        <f>'X22.55 POE'!B97</f>
        <v>248051.47499999995</v>
      </c>
      <c r="D24" s="564">
        <f>'X22.55 POE'!C97</f>
        <v>248051.47499999995</v>
      </c>
      <c r="E24" s="564">
        <f>'X22.55 POE'!D97</f>
        <v>248051.47499999995</v>
      </c>
      <c r="F24" s="564">
        <f>'X22.55 POE'!E97</f>
        <v>248051.47499999995</v>
      </c>
      <c r="G24" s="564">
        <f>'X22.55 POE'!F97</f>
        <v>248051.47499999995</v>
      </c>
      <c r="H24" s="564">
        <f>'X22.55 POE'!G97</f>
        <v>248051.47499999995</v>
      </c>
      <c r="I24" s="564">
        <f>'X22.55 POE'!H97</f>
        <v>248051.47499999995</v>
      </c>
      <c r="J24" s="564">
        <f>'X22.55 POE'!I97</f>
        <v>248051.47499999995</v>
      </c>
      <c r="K24" s="564">
        <f>'X22.55 POE'!J97</f>
        <v>248051.47499999995</v>
      </c>
      <c r="L24" s="564">
        <f>'X22.55 POE'!K97</f>
        <v>248051.47499999995</v>
      </c>
      <c r="M24" s="564">
        <f>'X22.55 POE'!L97</f>
        <v>248051.47499999995</v>
      </c>
      <c r="N24" s="564">
        <f>'X22.55 POE'!M97</f>
        <v>248051.47499999995</v>
      </c>
      <c r="O24" s="564">
        <f>SUM(C24:N24)</f>
        <v>2976617.6999999997</v>
      </c>
      <c r="Q24"/>
    </row>
    <row r="25" spans="1:18" s="552" customFormat="1" x14ac:dyDescent="0.25">
      <c r="A25" s="566" t="s">
        <v>281</v>
      </c>
      <c r="O25" s="561"/>
      <c r="Q25"/>
    </row>
    <row r="26" spans="1:18" s="552" customFormat="1" x14ac:dyDescent="0.25">
      <c r="Q26"/>
    </row>
    <row r="27" spans="1:18" s="552" customFormat="1" x14ac:dyDescent="0.25">
      <c r="Q27"/>
    </row>
    <row r="28" spans="1:18" s="552" customFormat="1" x14ac:dyDescent="0.25">
      <c r="C28" s="697"/>
      <c r="D28" s="697"/>
      <c r="E28" s="697"/>
      <c r="F28" s="697"/>
      <c r="G28" s="697"/>
      <c r="H28" s="697"/>
      <c r="I28" s="697"/>
      <c r="J28" s="697"/>
      <c r="K28" s="697"/>
      <c r="L28" s="697"/>
      <c r="M28" s="697"/>
      <c r="N28" s="697"/>
      <c r="O28" s="697"/>
      <c r="Q28"/>
    </row>
    <row r="29" spans="1:18" s="552" customFormat="1" ht="15.75" x14ac:dyDescent="0.25">
      <c r="A29" s="898"/>
      <c r="B29" s="898"/>
      <c r="C29" s="898"/>
      <c r="D29" s="898"/>
      <c r="E29" s="898"/>
      <c r="F29" s="898"/>
      <c r="G29" s="898"/>
      <c r="H29" s="898"/>
      <c r="I29" s="898"/>
      <c r="J29" s="898"/>
      <c r="K29" s="898"/>
      <c r="L29" s="898"/>
      <c r="M29" s="898"/>
      <c r="N29" s="898"/>
      <c r="O29" s="898"/>
      <c r="P29" s="898"/>
      <c r="Q29" s="898"/>
      <c r="R29" s="898"/>
    </row>
    <row r="30" spans="1:18" s="552" customFormat="1" x14ac:dyDescent="0.25">
      <c r="A30"/>
      <c r="B30"/>
      <c r="C30"/>
      <c r="D30"/>
      <c r="E30"/>
      <c r="F30"/>
      <c r="G30"/>
      <c r="H30"/>
      <c r="I30"/>
      <c r="J30"/>
      <c r="K30"/>
      <c r="L30"/>
      <c r="M30"/>
      <c r="N30"/>
      <c r="O30" s="561"/>
      <c r="P30"/>
      <c r="Q30"/>
    </row>
    <row r="31" spans="1:18" s="552" customFormat="1" x14ac:dyDescent="0.25">
      <c r="A31"/>
      <c r="B31"/>
      <c r="C31"/>
      <c r="D31"/>
      <c r="E31"/>
      <c r="F31"/>
      <c r="G31"/>
      <c r="H31"/>
      <c r="I31"/>
      <c r="J31"/>
      <c r="K31"/>
      <c r="L31"/>
      <c r="M31"/>
      <c r="N31"/>
      <c r="P31"/>
      <c r="Q31"/>
    </row>
    <row r="32" spans="1:18" s="552" customFormat="1" x14ac:dyDescent="0.25">
      <c r="A32"/>
      <c r="B32"/>
      <c r="C32"/>
      <c r="D32"/>
      <c r="E32"/>
      <c r="F32"/>
      <c r="G32"/>
      <c r="H32"/>
      <c r="I32"/>
      <c r="J32"/>
      <c r="K32"/>
      <c r="L32"/>
      <c r="M32"/>
      <c r="N32"/>
      <c r="P32"/>
      <c r="Q32"/>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pageSetUpPr fitToPage="1"/>
  </sheetPr>
  <dimension ref="A1:T31"/>
  <sheetViews>
    <sheetView workbookViewId="0">
      <selection sqref="A1:O1"/>
    </sheetView>
  </sheetViews>
  <sheetFormatPr baseColWidth="10" defaultRowHeight="12.75" x14ac:dyDescent="0.2"/>
  <cols>
    <col min="1" max="1" width="16.42578125" style="552" bestFit="1" customWidth="1"/>
    <col min="2" max="2" width="9.140625" style="552" hidden="1" customWidth="1"/>
    <col min="3" max="10" width="9.7109375" style="552" customWidth="1"/>
    <col min="11" max="11" width="10.42578125" style="552" bestFit="1" customWidth="1"/>
    <col min="12" max="15" width="9.7109375" style="552" customWidth="1"/>
    <col min="16" max="16" width="12.7109375" style="552" bestFit="1" customWidth="1"/>
    <col min="17" max="19" width="11.42578125" style="552"/>
    <col min="20" max="20" width="11.7109375" style="552" bestFit="1" customWidth="1"/>
    <col min="21" max="16384" width="11.42578125" style="552"/>
  </cols>
  <sheetData>
    <row r="1" spans="1:17" x14ac:dyDescent="0.2">
      <c r="A1" s="1215" t="s">
        <v>494</v>
      </c>
      <c r="B1" s="1215"/>
      <c r="C1" s="1215"/>
      <c r="D1" s="1215"/>
      <c r="E1" s="1215"/>
      <c r="F1" s="1215"/>
      <c r="G1" s="1215"/>
      <c r="H1" s="1215"/>
      <c r="I1" s="1215"/>
      <c r="J1" s="1215"/>
      <c r="K1" s="1215"/>
      <c r="L1" s="1215"/>
      <c r="M1" s="1215"/>
      <c r="N1" s="1215"/>
      <c r="O1" s="1215"/>
    </row>
    <row r="2" spans="1:17" ht="13.5" thickBot="1" x14ac:dyDescent="0.25"/>
    <row r="3" spans="1:17" ht="34.5" thickBot="1" x14ac:dyDescent="0.25">
      <c r="A3" s="843" t="s">
        <v>387</v>
      </c>
      <c r="B3" s="915" t="s">
        <v>273</v>
      </c>
      <c r="C3" s="843" t="s">
        <v>1</v>
      </c>
      <c r="D3" s="845" t="s">
        <v>2</v>
      </c>
      <c r="E3" s="843" t="s">
        <v>3</v>
      </c>
      <c r="F3" s="845" t="s">
        <v>4</v>
      </c>
      <c r="G3" s="843" t="s">
        <v>5</v>
      </c>
      <c r="H3" s="843" t="s">
        <v>6</v>
      </c>
      <c r="I3" s="843" t="s">
        <v>7</v>
      </c>
      <c r="J3" s="845" t="s">
        <v>8</v>
      </c>
      <c r="K3" s="843" t="s">
        <v>9</v>
      </c>
      <c r="L3" s="845" t="s">
        <v>10</v>
      </c>
      <c r="M3" s="843" t="s">
        <v>11</v>
      </c>
      <c r="N3" s="843" t="s">
        <v>12</v>
      </c>
      <c r="O3" s="846" t="s">
        <v>165</v>
      </c>
    </row>
    <row r="4" spans="1:17" x14ac:dyDescent="0.2">
      <c r="A4" s="557" t="s">
        <v>274</v>
      </c>
      <c r="B4" s="796">
        <f>ISR!Q7</f>
        <v>0.14937893214050901</v>
      </c>
      <c r="C4" s="559">
        <f>$C$24*B4/100</f>
        <v>39378.070335694232</v>
      </c>
      <c r="D4" s="559">
        <f>$D$24*B4/100</f>
        <v>45884.301034898286</v>
      </c>
      <c r="E4" s="559">
        <f>$E$24*B4/100</f>
        <v>38922.564437543922</v>
      </c>
      <c r="F4" s="559">
        <f>$F$24*B4/100</f>
        <v>30234.24555441468</v>
      </c>
      <c r="G4" s="559">
        <f>$G$24*B4/100</f>
        <v>30243.526347965424</v>
      </c>
      <c r="H4" s="559">
        <f>$H$24*B4/100</f>
        <v>23727.733365550914</v>
      </c>
      <c r="I4" s="559">
        <f>$I$24*B4/100</f>
        <v>29973.696550415436</v>
      </c>
      <c r="J4" s="559">
        <f>$J$24*B4/100</f>
        <v>29920.823757881164</v>
      </c>
      <c r="K4" s="559">
        <f>$K$24*B4/100</f>
        <v>32932.808289133893</v>
      </c>
      <c r="L4" s="559">
        <f>$L$24*B4/100</f>
        <v>26083.129672010913</v>
      </c>
      <c r="M4" s="559">
        <f>$M$24*B4/100</f>
        <v>40055.121562139873</v>
      </c>
      <c r="N4" s="559">
        <f>$N$24*B4/100</f>
        <v>26401.615772853438</v>
      </c>
      <c r="O4" s="560">
        <f>SUM(C4:N4)</f>
        <v>393757.63668050215</v>
      </c>
      <c r="P4" s="561"/>
      <c r="Q4" s="561"/>
    </row>
    <row r="5" spans="1:17" x14ac:dyDescent="0.2">
      <c r="A5" s="557" t="s">
        <v>144</v>
      </c>
      <c r="B5" s="796">
        <f>ISR!Q8</f>
        <v>1.476900055165081</v>
      </c>
      <c r="C5" s="559">
        <f t="shared" ref="C5:C23" si="0">$C$24*B5/100</f>
        <v>389328.49109121418</v>
      </c>
      <c r="D5" s="559">
        <f t="shared" ref="D5:D23" si="1">$D$24*B5/100</f>
        <v>453655.18255218089</v>
      </c>
      <c r="E5" s="559">
        <f t="shared" ref="E5:E23" si="2">$E$24*B5/100</f>
        <v>384824.93308295758</v>
      </c>
      <c r="F5" s="559">
        <f t="shared" ref="F5:F23" si="3">$F$24*B5/100</f>
        <v>298924.07374547387</v>
      </c>
      <c r="G5" s="559">
        <f t="shared" ref="G5:G23" si="4">$G$24*B5/100</f>
        <v>299015.83236438123</v>
      </c>
      <c r="H5" s="559">
        <f t="shared" ref="H5:H23" si="5">$H$24*B5/100</f>
        <v>234594.59921404324</v>
      </c>
      <c r="I5" s="559">
        <f t="shared" ref="I5:I23" si="6">$I$24*B5/100</f>
        <v>296348.04222037405</v>
      </c>
      <c r="J5" s="559">
        <f t="shared" ref="J5:J23" si="7">$J$24*B5/100</f>
        <v>295825.2922643284</v>
      </c>
      <c r="K5" s="559">
        <f t="shared" ref="K5:K23" si="8">$K$24*B5/100</f>
        <v>325604.59284320293</v>
      </c>
      <c r="L5" s="559">
        <f t="shared" ref="L5:L23" si="9">$L$24*B5/100</f>
        <v>257882.25353784225</v>
      </c>
      <c r="M5" s="559">
        <f t="shared" ref="M5:M23" si="10">$M$24*B5/100</f>
        <v>396022.45374952664</v>
      </c>
      <c r="N5" s="559">
        <f t="shared" ref="N5:N23" si="11">$N$24*B5/100</f>
        <v>261031.10547541801</v>
      </c>
      <c r="O5" s="560">
        <f t="shared" ref="O5:O23" si="12">SUM(C5:N5)</f>
        <v>3893056.8521409426</v>
      </c>
      <c r="P5" s="561"/>
      <c r="Q5" s="561"/>
    </row>
    <row r="6" spans="1:17" x14ac:dyDescent="0.2">
      <c r="A6" s="557" t="s">
        <v>145</v>
      </c>
      <c r="B6" s="796">
        <f>ISR!Q9</f>
        <v>1.5012186032025194</v>
      </c>
      <c r="C6" s="559">
        <f t="shared" si="0"/>
        <v>395739.15075625619</v>
      </c>
      <c r="D6" s="559">
        <f t="shared" si="1"/>
        <v>461125.04167416116</v>
      </c>
      <c r="E6" s="559">
        <f t="shared" si="2"/>
        <v>391161.43743100285</v>
      </c>
      <c r="F6" s="559">
        <f t="shared" si="3"/>
        <v>303846.13967776438</v>
      </c>
      <c r="G6" s="559">
        <f t="shared" si="4"/>
        <v>303939.40918860649</v>
      </c>
      <c r="H6" s="559">
        <f t="shared" si="5"/>
        <v>238457.41986352354</v>
      </c>
      <c r="I6" s="559">
        <f t="shared" si="6"/>
        <v>301227.69137153577</v>
      </c>
      <c r="J6" s="559">
        <f t="shared" si="7"/>
        <v>300696.33384595742</v>
      </c>
      <c r="K6" s="559">
        <f t="shared" si="8"/>
        <v>330965.97860832361</v>
      </c>
      <c r="L6" s="559">
        <f t="shared" si="9"/>
        <v>262128.52731156891</v>
      </c>
      <c r="M6" s="559">
        <f t="shared" si="10"/>
        <v>402543.33580361767</v>
      </c>
      <c r="N6" s="559">
        <f t="shared" si="11"/>
        <v>265329.2280569491</v>
      </c>
      <c r="O6" s="560">
        <f t="shared" si="12"/>
        <v>3957159.6935892673</v>
      </c>
      <c r="P6" s="561"/>
      <c r="Q6" s="561"/>
    </row>
    <row r="7" spans="1:17" x14ac:dyDescent="0.2">
      <c r="A7" s="557" t="s">
        <v>275</v>
      </c>
      <c r="B7" s="796">
        <f>ISR!Q10</f>
        <v>22.727259320752001</v>
      </c>
      <c r="C7" s="559">
        <f t="shared" si="0"/>
        <v>5991176.9567901324</v>
      </c>
      <c r="D7" s="559">
        <f t="shared" si="1"/>
        <v>6981067.5001390399</v>
      </c>
      <c r="E7" s="559">
        <f t="shared" si="2"/>
        <v>5921874.0067619691</v>
      </c>
      <c r="F7" s="559">
        <f t="shared" si="3"/>
        <v>4599989.6319792662</v>
      </c>
      <c r="G7" s="559">
        <f t="shared" si="4"/>
        <v>4601401.6584190568</v>
      </c>
      <c r="H7" s="559">
        <f t="shared" si="5"/>
        <v>3610056.2613828951</v>
      </c>
      <c r="I7" s="559">
        <f t="shared" si="6"/>
        <v>4560348.4008176681</v>
      </c>
      <c r="J7" s="559">
        <f t="shared" si="7"/>
        <v>4552304.0691992827</v>
      </c>
      <c r="K7" s="559">
        <f t="shared" si="8"/>
        <v>5010562.4897875674</v>
      </c>
      <c r="L7" s="559">
        <f t="shared" si="9"/>
        <v>3968418.0590807456</v>
      </c>
      <c r="M7" s="559">
        <f t="shared" si="10"/>
        <v>6094186.9232985927</v>
      </c>
      <c r="N7" s="559">
        <f t="shared" si="11"/>
        <v>4016874.1304971259</v>
      </c>
      <c r="O7" s="560">
        <f t="shared" si="12"/>
        <v>59908260.088153332</v>
      </c>
      <c r="P7" s="561"/>
      <c r="Q7" s="561"/>
    </row>
    <row r="8" spans="1:17" x14ac:dyDescent="0.2">
      <c r="A8" s="557" t="s">
        <v>147</v>
      </c>
      <c r="B8" s="796">
        <f>ISR!Q11</f>
        <v>6.8596578399227575</v>
      </c>
      <c r="C8" s="559">
        <f t="shared" si="0"/>
        <v>1808287.7218937003</v>
      </c>
      <c r="D8" s="559">
        <f t="shared" si="1"/>
        <v>2107061.5568958195</v>
      </c>
      <c r="E8" s="559">
        <f t="shared" si="2"/>
        <v>1787370.3504772363</v>
      </c>
      <c r="F8" s="559">
        <f t="shared" si="3"/>
        <v>1388392.4364676056</v>
      </c>
      <c r="G8" s="559">
        <f t="shared" si="4"/>
        <v>1388818.6215214739</v>
      </c>
      <c r="H8" s="559">
        <f t="shared" si="5"/>
        <v>1089605.6751262532</v>
      </c>
      <c r="I8" s="559">
        <f t="shared" si="6"/>
        <v>1376427.7169964132</v>
      </c>
      <c r="J8" s="559">
        <f t="shared" si="7"/>
        <v>1373999.7356162467</v>
      </c>
      <c r="K8" s="559">
        <f t="shared" si="8"/>
        <v>1512313.6397757668</v>
      </c>
      <c r="L8" s="559">
        <f t="shared" si="9"/>
        <v>1197768.2687946539</v>
      </c>
      <c r="M8" s="559">
        <f t="shared" si="10"/>
        <v>1839378.7177052691</v>
      </c>
      <c r="N8" s="559">
        <f t="shared" si="11"/>
        <v>1212393.5285099656</v>
      </c>
      <c r="O8" s="560">
        <f t="shared" si="12"/>
        <v>18081817.969780404</v>
      </c>
      <c r="P8" s="561"/>
      <c r="Q8" s="561"/>
    </row>
    <row r="9" spans="1:17" x14ac:dyDescent="0.2">
      <c r="A9" s="557" t="s">
        <v>276</v>
      </c>
      <c r="B9" s="796">
        <f>ISR!Q12</f>
        <v>2.8507040540026454</v>
      </c>
      <c r="C9" s="559">
        <f t="shared" si="0"/>
        <v>751479.63060262869</v>
      </c>
      <c r="D9" s="559">
        <f t="shared" si="1"/>
        <v>875642.64318228362</v>
      </c>
      <c r="E9" s="559">
        <f t="shared" si="2"/>
        <v>742786.88864851033</v>
      </c>
      <c r="F9" s="559">
        <f t="shared" si="3"/>
        <v>576981.54041301005</v>
      </c>
      <c r="G9" s="559">
        <f t="shared" si="4"/>
        <v>577158.65237532207</v>
      </c>
      <c r="H9" s="559">
        <f t="shared" si="5"/>
        <v>452813.15596663579</v>
      </c>
      <c r="I9" s="559">
        <f t="shared" si="6"/>
        <v>572009.29907131707</v>
      </c>
      <c r="J9" s="559">
        <f t="shared" si="7"/>
        <v>571000.29009083973</v>
      </c>
      <c r="K9" s="559">
        <f t="shared" si="8"/>
        <v>628480.12604092516</v>
      </c>
      <c r="L9" s="559">
        <f t="shared" si="9"/>
        <v>497762.85337973922</v>
      </c>
      <c r="M9" s="559">
        <f t="shared" si="10"/>
        <v>764400.27910599718</v>
      </c>
      <c r="N9" s="559">
        <f t="shared" si="11"/>
        <v>503840.74941103021</v>
      </c>
      <c r="O9" s="560">
        <f t="shared" si="12"/>
        <v>7514356.1082882378</v>
      </c>
      <c r="P9" s="561"/>
      <c r="Q9" s="561"/>
    </row>
    <row r="10" spans="1:17" x14ac:dyDescent="0.2">
      <c r="A10" s="557" t="s">
        <v>149</v>
      </c>
      <c r="B10" s="796">
        <f>ISR!Q13</f>
        <v>0.94565410140548312</v>
      </c>
      <c r="C10" s="559">
        <f t="shared" si="0"/>
        <v>249285.71375350273</v>
      </c>
      <c r="D10" s="559">
        <f t="shared" si="1"/>
        <v>290473.87634931819</v>
      </c>
      <c r="E10" s="559">
        <f t="shared" si="2"/>
        <v>246402.10081941739</v>
      </c>
      <c r="F10" s="559">
        <f t="shared" si="3"/>
        <v>191400.07162816846</v>
      </c>
      <c r="G10" s="559">
        <f t="shared" si="4"/>
        <v>191458.82436096549</v>
      </c>
      <c r="H10" s="559">
        <f t="shared" si="5"/>
        <v>150210.12704176427</v>
      </c>
      <c r="I10" s="559">
        <f t="shared" si="6"/>
        <v>189750.64737055465</v>
      </c>
      <c r="J10" s="559">
        <f t="shared" si="7"/>
        <v>189415.93234483895</v>
      </c>
      <c r="K10" s="559">
        <f t="shared" si="8"/>
        <v>208483.51760960606</v>
      </c>
      <c r="L10" s="559">
        <f t="shared" si="9"/>
        <v>165121.13320389227</v>
      </c>
      <c r="M10" s="559">
        <f t="shared" si="10"/>
        <v>253571.8353636619</v>
      </c>
      <c r="N10" s="559">
        <f t="shared" si="11"/>
        <v>167137.33243082932</v>
      </c>
      <c r="O10" s="560">
        <f t="shared" si="12"/>
        <v>2492711.1122765196</v>
      </c>
      <c r="P10" s="561"/>
      <c r="Q10" s="561"/>
    </row>
    <row r="11" spans="1:17" x14ac:dyDescent="0.2">
      <c r="A11" s="557" t="s">
        <v>150</v>
      </c>
      <c r="B11" s="796">
        <f>ISR!Q14</f>
        <v>3.1859671037310564</v>
      </c>
      <c r="C11" s="559">
        <f t="shared" si="0"/>
        <v>839858.97408827243</v>
      </c>
      <c r="D11" s="559">
        <f t="shared" si="1"/>
        <v>978624.43906998367</v>
      </c>
      <c r="E11" s="559">
        <f t="shared" si="2"/>
        <v>830143.90392230498</v>
      </c>
      <c r="F11" s="559">
        <f t="shared" si="3"/>
        <v>644838.66876144533</v>
      </c>
      <c r="G11" s="559">
        <f t="shared" si="4"/>
        <v>645036.61034882651</v>
      </c>
      <c r="H11" s="559">
        <f t="shared" si="5"/>
        <v>506067.20014332398</v>
      </c>
      <c r="I11" s="559">
        <f t="shared" si="6"/>
        <v>639281.6565124176</v>
      </c>
      <c r="J11" s="559">
        <f t="shared" si="7"/>
        <v>638153.98090727848</v>
      </c>
      <c r="K11" s="559">
        <f t="shared" si="8"/>
        <v>702393.85393362807</v>
      </c>
      <c r="L11" s="559">
        <f t="shared" si="9"/>
        <v>556303.30131971056</v>
      </c>
      <c r="M11" s="559">
        <f t="shared" si="10"/>
        <v>854299.18265106762</v>
      </c>
      <c r="N11" s="559">
        <f t="shared" si="11"/>
        <v>563096.00110501517</v>
      </c>
      <c r="O11" s="560">
        <f t="shared" si="12"/>
        <v>8398097.7727632746</v>
      </c>
      <c r="P11" s="561"/>
      <c r="Q11" s="561"/>
    </row>
    <row r="12" spans="1:17" x14ac:dyDescent="0.2">
      <c r="A12" s="557" t="s">
        <v>151</v>
      </c>
      <c r="B12" s="796">
        <f>ISR!Q15</f>
        <v>2.1802263853267712</v>
      </c>
      <c r="C12" s="559">
        <f t="shared" si="0"/>
        <v>574733.71056353999</v>
      </c>
      <c r="D12" s="559">
        <f t="shared" si="1"/>
        <v>669693.92775189783</v>
      </c>
      <c r="E12" s="559">
        <f t="shared" si="2"/>
        <v>568085.47735160927</v>
      </c>
      <c r="F12" s="559">
        <f t="shared" si="3"/>
        <v>441277.08608989196</v>
      </c>
      <c r="G12" s="559">
        <f t="shared" si="4"/>
        <v>441412.54181103117</v>
      </c>
      <c r="H12" s="559">
        <f t="shared" si="5"/>
        <v>346312.76048293355</v>
      </c>
      <c r="I12" s="559">
        <f t="shared" si="6"/>
        <v>437474.30208916386</v>
      </c>
      <c r="J12" s="559">
        <f t="shared" si="7"/>
        <v>436702.60921589652</v>
      </c>
      <c r="K12" s="559">
        <f t="shared" si="8"/>
        <v>480663.34754180984</v>
      </c>
      <c r="L12" s="559">
        <f t="shared" si="9"/>
        <v>380690.41402255691</v>
      </c>
      <c r="M12" s="559">
        <f t="shared" si="10"/>
        <v>584615.4584577221</v>
      </c>
      <c r="N12" s="559">
        <f t="shared" si="11"/>
        <v>385338.80580355832</v>
      </c>
      <c r="O12" s="560">
        <f t="shared" si="12"/>
        <v>5747000.4411816113</v>
      </c>
      <c r="P12" s="561"/>
      <c r="Q12" s="561"/>
    </row>
    <row r="13" spans="1:17" x14ac:dyDescent="0.2">
      <c r="A13" s="557" t="s">
        <v>152</v>
      </c>
      <c r="B13" s="796">
        <f>ISR!Q16</f>
        <v>1.8439864867466385</v>
      </c>
      <c r="C13" s="559">
        <f t="shared" si="0"/>
        <v>486096.85805544414</v>
      </c>
      <c r="D13" s="559">
        <f t="shared" si="1"/>
        <v>566412.07598526159</v>
      </c>
      <c r="E13" s="559">
        <f t="shared" si="2"/>
        <v>480473.93179143459</v>
      </c>
      <c r="F13" s="559">
        <f t="shared" si="3"/>
        <v>373222.24386287085</v>
      </c>
      <c r="G13" s="559">
        <f t="shared" si="4"/>
        <v>373336.80926810333</v>
      </c>
      <c r="H13" s="559">
        <f t="shared" si="5"/>
        <v>292903.55112491781</v>
      </c>
      <c r="I13" s="559">
        <f t="shared" si="6"/>
        <v>370005.93460409285</v>
      </c>
      <c r="J13" s="559">
        <f t="shared" si="7"/>
        <v>369353.25411191978</v>
      </c>
      <c r="K13" s="559">
        <f t="shared" si="8"/>
        <v>406534.25878462463</v>
      </c>
      <c r="L13" s="559">
        <f t="shared" si="9"/>
        <v>321979.39801850641</v>
      </c>
      <c r="M13" s="559">
        <f t="shared" si="10"/>
        <v>494454.61838021775</v>
      </c>
      <c r="N13" s="559">
        <f t="shared" si="11"/>
        <v>325910.9033369259</v>
      </c>
      <c r="O13" s="560">
        <f t="shared" si="12"/>
        <v>4860683.8373243194</v>
      </c>
      <c r="P13" s="561"/>
      <c r="Q13" s="561"/>
    </row>
    <row r="14" spans="1:17" x14ac:dyDescent="0.2">
      <c r="A14" s="557" t="s">
        <v>153</v>
      </c>
      <c r="B14" s="796">
        <f>ISR!Q17</f>
        <v>4.6261866540217129</v>
      </c>
      <c r="C14" s="559">
        <f t="shared" si="0"/>
        <v>1219518.0460706714</v>
      </c>
      <c r="D14" s="559">
        <f t="shared" si="1"/>
        <v>1421012.5754353097</v>
      </c>
      <c r="E14" s="559">
        <f t="shared" si="2"/>
        <v>1205411.2689190647</v>
      </c>
      <c r="F14" s="559">
        <f t="shared" si="3"/>
        <v>936338.62067432969</v>
      </c>
      <c r="G14" s="559">
        <f t="shared" si="4"/>
        <v>936626.04195019486</v>
      </c>
      <c r="H14" s="559">
        <f t="shared" si="5"/>
        <v>734835.37372356048</v>
      </c>
      <c r="I14" s="559">
        <f t="shared" si="6"/>
        <v>928269.55559434788</v>
      </c>
      <c r="J14" s="559">
        <f t="shared" si="7"/>
        <v>926632.11312720773</v>
      </c>
      <c r="K14" s="559">
        <f t="shared" si="8"/>
        <v>1019911.6836860238</v>
      </c>
      <c r="L14" s="559">
        <f t="shared" si="9"/>
        <v>807780.75364921044</v>
      </c>
      <c r="M14" s="559">
        <f t="shared" si="10"/>
        <v>1240485.9650602494</v>
      </c>
      <c r="N14" s="559">
        <f t="shared" si="11"/>
        <v>817644.10002675175</v>
      </c>
      <c r="O14" s="560">
        <f t="shared" si="12"/>
        <v>12194466.09791692</v>
      </c>
      <c r="P14" s="561"/>
      <c r="Q14" s="561"/>
    </row>
    <row r="15" spans="1:17" x14ac:dyDescent="0.2">
      <c r="A15" s="557" t="s">
        <v>154</v>
      </c>
      <c r="B15" s="796">
        <f>ISR!Q18</f>
        <v>0.34790299924803952</v>
      </c>
      <c r="C15" s="559">
        <f t="shared" si="0"/>
        <v>91711.385120239051</v>
      </c>
      <c r="D15" s="559">
        <f t="shared" si="1"/>
        <v>106864.37317295605</v>
      </c>
      <c r="E15" s="559">
        <f t="shared" si="2"/>
        <v>90650.513510897232</v>
      </c>
      <c r="F15" s="559">
        <f t="shared" si="3"/>
        <v>70415.449874073049</v>
      </c>
      <c r="G15" s="559">
        <f t="shared" si="4"/>
        <v>70437.064809093936</v>
      </c>
      <c r="H15" s="559">
        <f t="shared" si="5"/>
        <v>55261.806232944269</v>
      </c>
      <c r="I15" s="559">
        <f t="shared" si="6"/>
        <v>69808.63217465904</v>
      </c>
      <c r="J15" s="559">
        <f t="shared" si="7"/>
        <v>69685.491629752811</v>
      </c>
      <c r="K15" s="559">
        <f t="shared" si="8"/>
        <v>76700.392841697932</v>
      </c>
      <c r="L15" s="559">
        <f t="shared" si="9"/>
        <v>60747.515815232611</v>
      </c>
      <c r="M15" s="559">
        <f t="shared" si="10"/>
        <v>93288.23500763443</v>
      </c>
      <c r="N15" s="559">
        <f t="shared" si="11"/>
        <v>61489.268806194581</v>
      </c>
      <c r="O15" s="560">
        <f t="shared" si="12"/>
        <v>917060.12899537489</v>
      </c>
      <c r="P15" s="561"/>
      <c r="Q15" s="561"/>
    </row>
    <row r="16" spans="1:17" x14ac:dyDescent="0.2">
      <c r="A16" s="557" t="s">
        <v>155</v>
      </c>
      <c r="B16" s="796">
        <f>ISR!Q19</f>
        <v>5.7590964327315461</v>
      </c>
      <c r="C16" s="559">
        <f t="shared" si="0"/>
        <v>1518166.592493997</v>
      </c>
      <c r="D16" s="559">
        <f t="shared" si="1"/>
        <v>1769005.2447282318</v>
      </c>
      <c r="E16" s="559">
        <f t="shared" si="2"/>
        <v>1500605.1977542213</v>
      </c>
      <c r="F16" s="559">
        <f t="shared" si="3"/>
        <v>1165639.1783211865</v>
      </c>
      <c r="G16" s="559">
        <f t="shared" si="4"/>
        <v>1165996.9863752751</v>
      </c>
      <c r="H16" s="559">
        <f t="shared" si="5"/>
        <v>914789.67364563385</v>
      </c>
      <c r="I16" s="559">
        <f t="shared" si="6"/>
        <v>1155594.0747849504</v>
      </c>
      <c r="J16" s="559">
        <f t="shared" si="7"/>
        <v>1153555.6379953083</v>
      </c>
      <c r="K16" s="559">
        <f t="shared" si="8"/>
        <v>1269678.5016469499</v>
      </c>
      <c r="L16" s="559">
        <f t="shared" si="9"/>
        <v>1005598.6938456403</v>
      </c>
      <c r="M16" s="559">
        <f t="shared" si="10"/>
        <v>1544269.3584404823</v>
      </c>
      <c r="N16" s="559">
        <f t="shared" si="11"/>
        <v>1017877.4813624199</v>
      </c>
      <c r="O16" s="560">
        <f t="shared" si="12"/>
        <v>15180776.621394295</v>
      </c>
      <c r="P16" s="561"/>
      <c r="Q16" s="561"/>
    </row>
    <row r="17" spans="1:20" x14ac:dyDescent="0.2">
      <c r="A17" s="557" t="s">
        <v>277</v>
      </c>
      <c r="B17" s="796">
        <f>ISR!Q20</f>
        <v>0.93866311817563386</v>
      </c>
      <c r="C17" s="559">
        <f t="shared" si="0"/>
        <v>247442.80709058914</v>
      </c>
      <c r="D17" s="559">
        <f t="shared" si="1"/>
        <v>288326.47594651842</v>
      </c>
      <c r="E17" s="559">
        <f t="shared" si="2"/>
        <v>244580.51198258161</v>
      </c>
      <c r="F17" s="559">
        <f t="shared" si="3"/>
        <v>189985.09897701012</v>
      </c>
      <c r="G17" s="559">
        <f t="shared" si="4"/>
        <v>190043.41736561188</v>
      </c>
      <c r="H17" s="559">
        <f t="shared" si="5"/>
        <v>149099.66130430091</v>
      </c>
      <c r="I17" s="559">
        <f t="shared" si="6"/>
        <v>188347.86849860876</v>
      </c>
      <c r="J17" s="559">
        <f t="shared" si="7"/>
        <v>188015.62793700007</v>
      </c>
      <c r="K17" s="559">
        <f t="shared" si="8"/>
        <v>206942.25133355171</v>
      </c>
      <c r="L17" s="559">
        <f t="shared" si="9"/>
        <v>163900.43414341507</v>
      </c>
      <c r="M17" s="559">
        <f t="shared" si="10"/>
        <v>251697.24248032883</v>
      </c>
      <c r="N17" s="559">
        <f t="shared" si="11"/>
        <v>165901.7281159228</v>
      </c>
      <c r="O17" s="560">
        <f t="shared" si="12"/>
        <v>2474283.1251754393</v>
      </c>
      <c r="P17" s="561"/>
      <c r="Q17" s="561"/>
    </row>
    <row r="18" spans="1:20" x14ac:dyDescent="0.2">
      <c r="A18" s="557" t="s">
        <v>278</v>
      </c>
      <c r="B18" s="796">
        <f>ISR!Q21</f>
        <v>2.5308095439924752</v>
      </c>
      <c r="C18" s="559">
        <f t="shared" si="0"/>
        <v>667151.61771166709</v>
      </c>
      <c r="D18" s="559">
        <f t="shared" si="1"/>
        <v>777381.55785793974</v>
      </c>
      <c r="E18" s="559">
        <f t="shared" si="2"/>
        <v>659434.34019558923</v>
      </c>
      <c r="F18" s="559">
        <f t="shared" si="3"/>
        <v>512234.99932742253</v>
      </c>
      <c r="G18" s="559">
        <f t="shared" si="4"/>
        <v>512392.23649974325</v>
      </c>
      <c r="H18" s="559">
        <f t="shared" si="5"/>
        <v>402000.29012364522</v>
      </c>
      <c r="I18" s="559">
        <f t="shared" si="6"/>
        <v>507820.72285248584</v>
      </c>
      <c r="J18" s="559">
        <f t="shared" si="7"/>
        <v>506924.94078974216</v>
      </c>
      <c r="K18" s="559">
        <f t="shared" si="8"/>
        <v>557954.62140683201</v>
      </c>
      <c r="L18" s="559">
        <f t="shared" si="9"/>
        <v>441905.91380735522</v>
      </c>
      <c r="M18" s="559">
        <f t="shared" si="10"/>
        <v>678622.36315821169</v>
      </c>
      <c r="N18" s="559">
        <f t="shared" si="11"/>
        <v>447301.77286252001</v>
      </c>
      <c r="O18" s="560">
        <f t="shared" si="12"/>
        <v>6671125.3765931539</v>
      </c>
      <c r="P18" s="561"/>
      <c r="Q18" s="561"/>
    </row>
    <row r="19" spans="1:20" x14ac:dyDescent="0.2">
      <c r="A19" s="557" t="s">
        <v>279</v>
      </c>
      <c r="B19" s="796">
        <f>ISR!Q22</f>
        <v>5.0074003444058119</v>
      </c>
      <c r="C19" s="559">
        <f t="shared" si="0"/>
        <v>1320010.5271573251</v>
      </c>
      <c r="D19" s="559">
        <f t="shared" si="1"/>
        <v>1538108.8987090322</v>
      </c>
      <c r="E19" s="559">
        <f t="shared" si="2"/>
        <v>1304741.3030532775</v>
      </c>
      <c r="F19" s="559">
        <f t="shared" si="3"/>
        <v>1013496.1432153003</v>
      </c>
      <c r="G19" s="559">
        <f t="shared" si="4"/>
        <v>1013807.248992778</v>
      </c>
      <c r="H19" s="559">
        <f t="shared" si="5"/>
        <v>795388.33571838413</v>
      </c>
      <c r="I19" s="559">
        <f t="shared" si="6"/>
        <v>1004762.1594221026</v>
      </c>
      <c r="J19" s="559">
        <f t="shared" si="7"/>
        <v>1002989.7860642801</v>
      </c>
      <c r="K19" s="559">
        <f t="shared" si="8"/>
        <v>1103955.914038426</v>
      </c>
      <c r="L19" s="559">
        <f t="shared" si="9"/>
        <v>874344.66581911023</v>
      </c>
      <c r="M19" s="559">
        <f t="shared" si="10"/>
        <v>1342706.2747832038</v>
      </c>
      <c r="N19" s="559">
        <f t="shared" si="11"/>
        <v>885020.78585956711</v>
      </c>
      <c r="O19" s="560">
        <f t="shared" si="12"/>
        <v>13199332.042832784</v>
      </c>
      <c r="P19" s="561"/>
      <c r="Q19" s="561"/>
    </row>
    <row r="20" spans="1:20" x14ac:dyDescent="0.2">
      <c r="A20" s="557" t="s">
        <v>159</v>
      </c>
      <c r="B20" s="796">
        <f>ISR!Q23</f>
        <v>1.2732955991361015</v>
      </c>
      <c r="C20" s="559">
        <f t="shared" si="0"/>
        <v>335655.92511900305</v>
      </c>
      <c r="D20" s="559">
        <f t="shared" si="1"/>
        <v>391114.58182213351</v>
      </c>
      <c r="E20" s="559">
        <f t="shared" si="2"/>
        <v>331773.22461241641</v>
      </c>
      <c r="F20" s="559">
        <f t="shared" si="3"/>
        <v>257714.60041918914</v>
      </c>
      <c r="G20" s="559">
        <f t="shared" si="4"/>
        <v>257793.70925612704</v>
      </c>
      <c r="H20" s="559">
        <f t="shared" si="5"/>
        <v>202253.54431783169</v>
      </c>
      <c r="I20" s="559">
        <f t="shared" si="6"/>
        <v>255493.69888108288</v>
      </c>
      <c r="J20" s="559">
        <f t="shared" si="7"/>
        <v>255043.01488513223</v>
      </c>
      <c r="K20" s="559">
        <f t="shared" si="8"/>
        <v>280716.96095875045</v>
      </c>
      <c r="L20" s="559">
        <f t="shared" si="9"/>
        <v>222330.77815704484</v>
      </c>
      <c r="M20" s="559">
        <f t="shared" si="10"/>
        <v>341427.0625523061</v>
      </c>
      <c r="N20" s="559">
        <f t="shared" si="11"/>
        <v>225045.53146782197</v>
      </c>
      <c r="O20" s="560">
        <f t="shared" si="12"/>
        <v>3356362.6324488395</v>
      </c>
      <c r="P20" s="561"/>
      <c r="Q20" s="561"/>
    </row>
    <row r="21" spans="1:20" x14ac:dyDescent="0.2">
      <c r="A21" s="557" t="s">
        <v>160</v>
      </c>
      <c r="B21" s="796">
        <f>ISR!Q24</f>
        <v>24.738795484343044</v>
      </c>
      <c r="C21" s="559">
        <f t="shared" si="0"/>
        <v>6521441.9104729835</v>
      </c>
      <c r="D21" s="559">
        <f t="shared" si="1"/>
        <v>7598945.3330450784</v>
      </c>
      <c r="E21" s="559">
        <f t="shared" si="2"/>
        <v>6446005.1196566382</v>
      </c>
      <c r="F21" s="559">
        <f t="shared" si="3"/>
        <v>5007123.8740047123</v>
      </c>
      <c r="G21" s="559">
        <f t="shared" si="4"/>
        <v>5008660.8755771192</v>
      </c>
      <c r="H21" s="559">
        <f t="shared" si="5"/>
        <v>3929573.8336464078</v>
      </c>
      <c r="I21" s="559">
        <f t="shared" si="6"/>
        <v>4963974.0908912309</v>
      </c>
      <c r="J21" s="559">
        <f t="shared" si="7"/>
        <v>4955217.7744385125</v>
      </c>
      <c r="K21" s="559">
        <f t="shared" si="8"/>
        <v>5454035.5679047136</v>
      </c>
      <c r="L21" s="559">
        <f t="shared" si="9"/>
        <v>4319653.3895457722</v>
      </c>
      <c r="M21" s="559">
        <f t="shared" si="10"/>
        <v>6633569.0463645924</v>
      </c>
      <c r="N21" s="559">
        <f t="shared" si="11"/>
        <v>4372398.1936520031</v>
      </c>
      <c r="O21" s="560">
        <f t="shared" si="12"/>
        <v>65210599.009199753</v>
      </c>
      <c r="P21" s="561"/>
      <c r="Q21" s="561"/>
      <c r="T21" s="561"/>
    </row>
    <row r="22" spans="1:20" x14ac:dyDescent="0.2">
      <c r="A22" s="557" t="s">
        <v>161</v>
      </c>
      <c r="B22" s="796">
        <f>ISR!Q25</f>
        <v>4.5033536015344415</v>
      </c>
      <c r="C22" s="559">
        <f t="shared" si="0"/>
        <v>1187137.7866118469</v>
      </c>
      <c r="D22" s="559">
        <f t="shared" si="1"/>
        <v>1383282.2966295946</v>
      </c>
      <c r="E22" s="559">
        <f t="shared" si="2"/>
        <v>1173405.5681687142</v>
      </c>
      <c r="F22" s="559">
        <f t="shared" si="3"/>
        <v>911477.25222107803</v>
      </c>
      <c r="G22" s="559">
        <f t="shared" si="4"/>
        <v>911757.04197765852</v>
      </c>
      <c r="H22" s="559">
        <f t="shared" si="5"/>
        <v>715324.25608380372</v>
      </c>
      <c r="I22" s="559">
        <f t="shared" si="6"/>
        <v>903622.43441830692</v>
      </c>
      <c r="J22" s="559">
        <f t="shared" si="7"/>
        <v>902028.4688083611</v>
      </c>
      <c r="K22" s="559">
        <f t="shared" si="8"/>
        <v>992831.30955851707</v>
      </c>
      <c r="L22" s="559">
        <f t="shared" si="9"/>
        <v>786332.81323268102</v>
      </c>
      <c r="M22" s="559">
        <f t="shared" si="10"/>
        <v>1207548.9720136099</v>
      </c>
      <c r="N22" s="559">
        <f t="shared" si="11"/>
        <v>795934.27114053874</v>
      </c>
      <c r="O22" s="560">
        <f t="shared" si="12"/>
        <v>11870682.470864709</v>
      </c>
      <c r="P22" s="561"/>
      <c r="Q22" s="561"/>
      <c r="T22" s="561"/>
    </row>
    <row r="23" spans="1:20" ht="13.5" thickBot="1" x14ac:dyDescent="0.25">
      <c r="A23" s="557" t="s">
        <v>162</v>
      </c>
      <c r="B23" s="796">
        <f>ISR!Q26</f>
        <v>6.5535433400157315</v>
      </c>
      <c r="C23" s="559">
        <f t="shared" si="0"/>
        <v>1727592.2842212962</v>
      </c>
      <c r="D23" s="559">
        <f t="shared" si="1"/>
        <v>2013033.2380183656</v>
      </c>
      <c r="E23" s="559">
        <f t="shared" si="2"/>
        <v>1707608.3574226168</v>
      </c>
      <c r="F23" s="559">
        <f t="shared" si="3"/>
        <v>1326434.9647857873</v>
      </c>
      <c r="G23" s="559">
        <f t="shared" si="4"/>
        <v>1326842.1311906679</v>
      </c>
      <c r="H23" s="559">
        <f t="shared" si="5"/>
        <v>1040981.6614916481</v>
      </c>
      <c r="I23" s="559">
        <f t="shared" si="6"/>
        <v>1315004.1748782729</v>
      </c>
      <c r="J23" s="559">
        <f t="shared" si="7"/>
        <v>1312684.5429702401</v>
      </c>
      <c r="K23" s="559">
        <f t="shared" si="8"/>
        <v>1444826.1434099502</v>
      </c>
      <c r="L23" s="559">
        <f t="shared" si="9"/>
        <v>1144317.4636433129</v>
      </c>
      <c r="M23" s="559">
        <f t="shared" si="10"/>
        <v>1757295.8340615691</v>
      </c>
      <c r="N23" s="559">
        <f t="shared" si="11"/>
        <v>1158290.0663065908</v>
      </c>
      <c r="O23" s="560">
        <f t="shared" si="12"/>
        <v>17274910.862400316</v>
      </c>
      <c r="P23" s="561"/>
      <c r="Q23" s="561"/>
      <c r="T23" s="561"/>
    </row>
    <row r="24" spans="1:20" ht="13.5" thickBot="1" x14ac:dyDescent="0.25">
      <c r="A24" s="562" t="s">
        <v>280</v>
      </c>
      <c r="B24" s="797">
        <f>SUM(B4:B23)</f>
        <v>100.00000000000001</v>
      </c>
      <c r="C24" s="564">
        <f>'X22.55 POE'!B122</f>
        <v>26361194.160000004</v>
      </c>
      <c r="D24" s="564">
        <f>'X22.55 POE'!C122</f>
        <v>30716715.120000005</v>
      </c>
      <c r="E24" s="564">
        <f>'X22.55 POE'!D122</f>
        <v>26056261.000000004</v>
      </c>
      <c r="F24" s="564">
        <f>'X22.55 POE'!E122</f>
        <v>20239966.32</v>
      </c>
      <c r="G24" s="564">
        <f>'X22.55 POE'!F122</f>
        <v>20246179.240000002</v>
      </c>
      <c r="H24" s="564">
        <f>'X22.55 POE'!G122</f>
        <v>15884256.920000002</v>
      </c>
      <c r="I24" s="564">
        <f>'X22.55 POE'!H122</f>
        <v>20065544.800000001</v>
      </c>
      <c r="J24" s="564">
        <f>'X22.55 POE'!I122</f>
        <v>20030149.720000006</v>
      </c>
      <c r="K24" s="564">
        <f>'X22.55 POE'!J122</f>
        <v>22046487.960000001</v>
      </c>
      <c r="L24" s="564">
        <f>'X22.55 POE'!K122</f>
        <v>17461049.760000002</v>
      </c>
      <c r="M24" s="564">
        <f>'X22.55 POE'!L122</f>
        <v>26814438.280000001</v>
      </c>
      <c r="N24" s="564">
        <f>'X22.55 POE'!M122</f>
        <v>17674256.600000001</v>
      </c>
      <c r="O24" s="564">
        <f>SUM(C24:N24)</f>
        <v>263596499.88000005</v>
      </c>
      <c r="P24" s="561"/>
      <c r="Q24" s="561"/>
      <c r="T24" s="561"/>
    </row>
    <row r="25" spans="1:20" x14ac:dyDescent="0.2">
      <c r="A25" s="566" t="s">
        <v>281</v>
      </c>
    </row>
    <row r="27" spans="1:20" x14ac:dyDescent="0.2">
      <c r="N27" s="665"/>
      <c r="O27" s="665"/>
      <c r="Q27" s="665"/>
    </row>
    <row r="29" spans="1:20" x14ac:dyDescent="0.2">
      <c r="Q29" s="665"/>
    </row>
    <row r="31" spans="1:20" x14ac:dyDescent="0.2">
      <c r="C31" s="665"/>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pageSetUpPr fitToPage="1"/>
  </sheetPr>
  <dimension ref="A1:T31"/>
  <sheetViews>
    <sheetView workbookViewId="0">
      <selection sqref="A1:O1"/>
    </sheetView>
  </sheetViews>
  <sheetFormatPr baseColWidth="10" defaultRowHeight="12.75" x14ac:dyDescent="0.2"/>
  <cols>
    <col min="1" max="1" width="16.42578125" style="552" bestFit="1" customWidth="1"/>
    <col min="2" max="2" width="9.140625" style="552" hidden="1" customWidth="1"/>
    <col min="3" max="10" width="9.7109375" style="552" customWidth="1"/>
    <col min="11" max="11" width="10.42578125" style="552" bestFit="1" customWidth="1"/>
    <col min="12" max="15" width="9.7109375" style="552" customWidth="1"/>
    <col min="16" max="16" width="12.7109375" style="552" bestFit="1" customWidth="1"/>
    <col min="17" max="19" width="11.42578125" style="552"/>
    <col min="20" max="20" width="11.7109375" style="552" bestFit="1" customWidth="1"/>
    <col min="21" max="16384" width="11.42578125" style="552"/>
  </cols>
  <sheetData>
    <row r="1" spans="1:17" x14ac:dyDescent="0.2">
      <c r="A1" s="1215" t="s">
        <v>498</v>
      </c>
      <c r="B1" s="1215"/>
      <c r="C1" s="1215"/>
      <c r="D1" s="1215"/>
      <c r="E1" s="1215"/>
      <c r="F1" s="1215"/>
      <c r="G1" s="1215"/>
      <c r="H1" s="1215"/>
      <c r="I1" s="1215"/>
      <c r="J1" s="1215"/>
      <c r="K1" s="1215"/>
      <c r="L1" s="1215"/>
      <c r="M1" s="1215"/>
      <c r="N1" s="1215"/>
      <c r="O1" s="1215"/>
    </row>
    <row r="2" spans="1:17" ht="13.5" thickBot="1" x14ac:dyDescent="0.25"/>
    <row r="3" spans="1:17" ht="34.5" thickBot="1" x14ac:dyDescent="0.25">
      <c r="A3" s="843" t="s">
        <v>307</v>
      </c>
      <c r="B3" s="844" t="s">
        <v>273</v>
      </c>
      <c r="C3" s="843" t="s">
        <v>1</v>
      </c>
      <c r="D3" s="845" t="s">
        <v>2</v>
      </c>
      <c r="E3" s="843" t="s">
        <v>3</v>
      </c>
      <c r="F3" s="845" t="s">
        <v>4</v>
      </c>
      <c r="G3" s="843" t="s">
        <v>5</v>
      </c>
      <c r="H3" s="843" t="s">
        <v>6</v>
      </c>
      <c r="I3" s="843" t="s">
        <v>7</v>
      </c>
      <c r="J3" s="845" t="s">
        <v>8</v>
      </c>
      <c r="K3" s="843" t="s">
        <v>9</v>
      </c>
      <c r="L3" s="845" t="s">
        <v>10</v>
      </c>
      <c r="M3" s="843" t="s">
        <v>11</v>
      </c>
      <c r="N3" s="843" t="s">
        <v>12</v>
      </c>
      <c r="O3" s="846" t="s">
        <v>165</v>
      </c>
    </row>
    <row r="4" spans="1:17" x14ac:dyDescent="0.2">
      <c r="A4" s="557" t="s">
        <v>274</v>
      </c>
      <c r="B4" s="796">
        <f>'ISR Enaje'!T8</f>
        <v>3.8084072470153756</v>
      </c>
      <c r="C4" s="559">
        <f>$C$24*B4/100</f>
        <v>211916.55727500352</v>
      </c>
      <c r="D4" s="559">
        <f>$D$24*B4/100</f>
        <v>41750.248217078224</v>
      </c>
      <c r="E4" s="559">
        <f>$E$24*B4/100</f>
        <v>29878.080002910607</v>
      </c>
      <c r="F4" s="559">
        <f>$F$24*B4/100</f>
        <v>93019.143270018641</v>
      </c>
      <c r="G4" s="559">
        <f>$G$24*B4/100</f>
        <v>267441.68151317025</v>
      </c>
      <c r="H4" s="559">
        <f>$H$24*B4/100</f>
        <v>134212.82776788046</v>
      </c>
      <c r="I4" s="559">
        <f>$I$24*B4/100</f>
        <v>132830.25171748182</v>
      </c>
      <c r="J4" s="559">
        <f>$J$24*B4/100</f>
        <v>91989.337271593176</v>
      </c>
      <c r="K4" s="559">
        <f>$K$24*B4/100</f>
        <v>79808.523773018314</v>
      </c>
      <c r="L4" s="559">
        <f>$L$24*B4/100</f>
        <v>70632.17565096161</v>
      </c>
      <c r="M4" s="559">
        <f>$M$24*B4/100</f>
        <v>89014.288406785592</v>
      </c>
      <c r="N4" s="559">
        <f>$N$24*B4/100</f>
        <v>90449.421589479229</v>
      </c>
      <c r="O4" s="560">
        <f>SUM(C4:N4)</f>
        <v>1332942.5364553817</v>
      </c>
      <c r="P4" s="561"/>
      <c r="Q4" s="561"/>
    </row>
    <row r="5" spans="1:17" x14ac:dyDescent="0.2">
      <c r="A5" s="557" t="s">
        <v>144</v>
      </c>
      <c r="B5" s="796">
        <f>'ISR Enaje'!T9</f>
        <v>2.8691330261854757</v>
      </c>
      <c r="C5" s="559">
        <f t="shared" ref="C5:C23" si="0">$C$24*B5/100</f>
        <v>159651.20162759314</v>
      </c>
      <c r="D5" s="559">
        <f t="shared" ref="D5:D23" si="1">$D$24*B5/100</f>
        <v>31453.31059458957</v>
      </c>
      <c r="E5" s="559">
        <f t="shared" ref="E5:E23" si="2">$E$24*B5/100</f>
        <v>22509.196242745351</v>
      </c>
      <c r="F5" s="559">
        <f t="shared" ref="F5:F23" si="3">$F$24*B5/100</f>
        <v>70077.667306363946</v>
      </c>
      <c r="G5" s="559">
        <f t="shared" ref="G5:G23" si="4">$G$24*B5/100</f>
        <v>201482.06618642545</v>
      </c>
      <c r="H5" s="559">
        <f t="shared" ref="H5:H23" si="5">$H$24*B5/100</f>
        <v>101111.68047701548</v>
      </c>
      <c r="I5" s="559">
        <f t="shared" ref="I5:I23" si="6">$I$24*B5/100</f>
        <v>100070.09160531052</v>
      </c>
      <c r="J5" s="559">
        <f t="shared" ref="J5:J23" si="7">$J$24*B5/100</f>
        <v>69301.844184253787</v>
      </c>
      <c r="K5" s="559">
        <f t="shared" ref="K5:K23" si="8">$K$24*B5/100</f>
        <v>60125.206280847902</v>
      </c>
      <c r="L5" s="559">
        <f t="shared" ref="L5:L23" si="9">$L$24*B5/100</f>
        <v>53212.03713975849</v>
      </c>
      <c r="M5" s="559">
        <f t="shared" ref="M5:M23" si="10">$M$24*B5/100</f>
        <v>67060.536887292707</v>
      </c>
      <c r="N5" s="559">
        <f t="shared" ref="N5:N23" si="11">$N$24*B5/100</f>
        <v>68141.720632720113</v>
      </c>
      <c r="O5" s="560">
        <f t="shared" ref="O5:O23" si="12">SUM(C5:N5)</f>
        <v>1004196.5591649166</v>
      </c>
      <c r="P5" s="561"/>
      <c r="Q5" s="561"/>
    </row>
    <row r="6" spans="1:17" x14ac:dyDescent="0.2">
      <c r="A6" s="557" t="s">
        <v>145</v>
      </c>
      <c r="B6" s="796">
        <f>'ISR Enaje'!T10</f>
        <v>2.8805714770770665</v>
      </c>
      <c r="C6" s="559">
        <f t="shared" si="0"/>
        <v>160287.68742763586</v>
      </c>
      <c r="D6" s="559">
        <f t="shared" si="1"/>
        <v>31578.70636583148</v>
      </c>
      <c r="E6" s="559">
        <f t="shared" si="2"/>
        <v>22598.934269348509</v>
      </c>
      <c r="F6" s="559">
        <f t="shared" si="3"/>
        <v>70357.047853994663</v>
      </c>
      <c r="G6" s="559">
        <f t="shared" si="4"/>
        <v>202285.32023514892</v>
      </c>
      <c r="H6" s="559">
        <f t="shared" si="5"/>
        <v>101514.78517141168</v>
      </c>
      <c r="I6" s="559">
        <f t="shared" si="6"/>
        <v>100469.04376894237</v>
      </c>
      <c r="J6" s="559">
        <f t="shared" si="7"/>
        <v>69578.131736682888</v>
      </c>
      <c r="K6" s="559">
        <f t="shared" si="8"/>
        <v>60364.909080653109</v>
      </c>
      <c r="L6" s="559">
        <f t="shared" si="9"/>
        <v>53424.179019591036</v>
      </c>
      <c r="M6" s="559">
        <f t="shared" si="10"/>
        <v>67327.888958788972</v>
      </c>
      <c r="N6" s="559">
        <f t="shared" si="11"/>
        <v>68413.383088943738</v>
      </c>
      <c r="O6" s="560">
        <f t="shared" si="12"/>
        <v>1008200.0169769733</v>
      </c>
      <c r="P6" s="561"/>
      <c r="Q6" s="561"/>
    </row>
    <row r="7" spans="1:17" x14ac:dyDescent="0.2">
      <c r="A7" s="557" t="s">
        <v>275</v>
      </c>
      <c r="B7" s="796">
        <f>'ISR Enaje'!T11</f>
        <v>10.639066083702961</v>
      </c>
      <c r="C7" s="559">
        <f t="shared" si="0"/>
        <v>592004.50761837442</v>
      </c>
      <c r="D7" s="559">
        <f t="shared" si="1"/>
        <v>116632.39275174701</v>
      </c>
      <c r="E7" s="559">
        <f t="shared" si="2"/>
        <v>83466.61661623673</v>
      </c>
      <c r="F7" s="559">
        <f t="shared" si="3"/>
        <v>259855.82636277511</v>
      </c>
      <c r="G7" s="559">
        <f t="shared" si="4"/>
        <v>747118.03087370063</v>
      </c>
      <c r="H7" s="559">
        <f t="shared" si="5"/>
        <v>374933.41738128429</v>
      </c>
      <c r="I7" s="559">
        <f t="shared" si="6"/>
        <v>371071.08937593148</v>
      </c>
      <c r="J7" s="559">
        <f t="shared" si="7"/>
        <v>256978.98747448961</v>
      </c>
      <c r="K7" s="559">
        <f t="shared" si="8"/>
        <v>222950.98800931688</v>
      </c>
      <c r="L7" s="559">
        <f t="shared" si="9"/>
        <v>197316.18381285519</v>
      </c>
      <c r="M7" s="559">
        <f t="shared" si="10"/>
        <v>248667.96939738176</v>
      </c>
      <c r="N7" s="559">
        <f t="shared" si="11"/>
        <v>252677.11962194301</v>
      </c>
      <c r="O7" s="560">
        <f t="shared" si="12"/>
        <v>3723673.1292960364</v>
      </c>
      <c r="P7" s="561"/>
      <c r="Q7" s="561"/>
    </row>
    <row r="8" spans="1:17" x14ac:dyDescent="0.2">
      <c r="A8" s="557" t="s">
        <v>147</v>
      </c>
      <c r="B8" s="796">
        <f>'ISR Enaje'!T12</f>
        <v>5.6047496625614723</v>
      </c>
      <c r="C8" s="559">
        <f t="shared" si="0"/>
        <v>311872.963115772</v>
      </c>
      <c r="D8" s="559">
        <f t="shared" si="1"/>
        <v>61442.927299834053</v>
      </c>
      <c r="E8" s="559">
        <f t="shared" si="2"/>
        <v>43970.916961555144</v>
      </c>
      <c r="F8" s="559">
        <f t="shared" si="3"/>
        <v>136894.23899268443</v>
      </c>
      <c r="G8" s="559">
        <f t="shared" si="4"/>
        <v>393588.07422460563</v>
      </c>
      <c r="H8" s="559">
        <f t="shared" si="5"/>
        <v>197518.08363797393</v>
      </c>
      <c r="I8" s="559">
        <f t="shared" si="6"/>
        <v>195483.37669900089</v>
      </c>
      <c r="J8" s="559">
        <f t="shared" si="7"/>
        <v>135378.6960247673</v>
      </c>
      <c r="K8" s="559">
        <f t="shared" si="8"/>
        <v>117452.45917093166</v>
      </c>
      <c r="L8" s="559">
        <f t="shared" si="9"/>
        <v>103947.82830957875</v>
      </c>
      <c r="M8" s="559">
        <f t="shared" si="10"/>
        <v>131000.38166928396</v>
      </c>
      <c r="N8" s="559">
        <f t="shared" si="11"/>
        <v>133112.43579052758</v>
      </c>
      <c r="O8" s="560">
        <f t="shared" si="12"/>
        <v>1961662.3818965154</v>
      </c>
      <c r="P8" s="561"/>
      <c r="Q8" s="561"/>
    </row>
    <row r="9" spans="1:17" x14ac:dyDescent="0.2">
      <c r="A9" s="557" t="s">
        <v>276</v>
      </c>
      <c r="B9" s="796">
        <f>'ISR Enaje'!T13</f>
        <v>3.6620290349041666</v>
      </c>
      <c r="C9" s="559">
        <f t="shared" si="0"/>
        <v>203771.42867958147</v>
      </c>
      <c r="D9" s="559">
        <f t="shared" si="1"/>
        <v>40145.554629226106</v>
      </c>
      <c r="E9" s="559">
        <f t="shared" si="2"/>
        <v>28729.699683140658</v>
      </c>
      <c r="F9" s="559">
        <f t="shared" si="3"/>
        <v>89443.901705542448</v>
      </c>
      <c r="G9" s="559">
        <f t="shared" si="4"/>
        <v>257162.41444828559</v>
      </c>
      <c r="H9" s="559">
        <f t="shared" si="5"/>
        <v>129054.28444601058</v>
      </c>
      <c r="I9" s="559">
        <f t="shared" si="6"/>
        <v>127724.84846106154</v>
      </c>
      <c r="J9" s="559">
        <f t="shared" si="7"/>
        <v>88453.676862989698</v>
      </c>
      <c r="K9" s="559">
        <f t="shared" si="8"/>
        <v>76741.039582538244</v>
      </c>
      <c r="L9" s="559">
        <f t="shared" si="9"/>
        <v>67917.389411276963</v>
      </c>
      <c r="M9" s="559">
        <f t="shared" si="10"/>
        <v>85592.975625819716</v>
      </c>
      <c r="N9" s="559">
        <f t="shared" si="11"/>
        <v>86972.948680985297</v>
      </c>
      <c r="O9" s="560">
        <f t="shared" si="12"/>
        <v>1281710.1622164582</v>
      </c>
      <c r="P9" s="561"/>
      <c r="Q9" s="561"/>
    </row>
    <row r="10" spans="1:17" x14ac:dyDescent="0.2">
      <c r="A10" s="557" t="s">
        <v>149</v>
      </c>
      <c r="B10" s="796">
        <f>'ISR Enaje'!T14</f>
        <v>3.0697485567960188</v>
      </c>
      <c r="C10" s="559">
        <f t="shared" si="0"/>
        <v>170814.33356843327</v>
      </c>
      <c r="D10" s="559">
        <f t="shared" si="1"/>
        <v>33652.589100257537</v>
      </c>
      <c r="E10" s="559">
        <f t="shared" si="2"/>
        <v>24083.084349933895</v>
      </c>
      <c r="F10" s="559">
        <f t="shared" si="3"/>
        <v>74977.638232182726</v>
      </c>
      <c r="G10" s="559">
        <f t="shared" si="4"/>
        <v>215570.09600156356</v>
      </c>
      <c r="H10" s="559">
        <f t="shared" si="5"/>
        <v>108181.61179239565</v>
      </c>
      <c r="I10" s="559">
        <f t="shared" si="6"/>
        <v>107067.19293955421</v>
      </c>
      <c r="J10" s="559">
        <f t="shared" si="7"/>
        <v>74147.568002712433</v>
      </c>
      <c r="K10" s="559">
        <f t="shared" si="8"/>
        <v>64329.28118815089</v>
      </c>
      <c r="L10" s="559">
        <f t="shared" si="9"/>
        <v>56932.729407503641</v>
      </c>
      <c r="M10" s="559">
        <f t="shared" si="10"/>
        <v>71749.544008220269</v>
      </c>
      <c r="N10" s="559">
        <f t="shared" si="11"/>
        <v>72906.326287698495</v>
      </c>
      <c r="O10" s="560">
        <f t="shared" si="12"/>
        <v>1074411.9948786066</v>
      </c>
      <c r="P10" s="561"/>
      <c r="Q10" s="561"/>
    </row>
    <row r="11" spans="1:17" x14ac:dyDescent="0.2">
      <c r="A11" s="557" t="s">
        <v>150</v>
      </c>
      <c r="B11" s="796">
        <f>'ISR Enaje'!T15</f>
        <v>3.4287748252403007</v>
      </c>
      <c r="C11" s="559">
        <f t="shared" si="0"/>
        <v>190792.13684554596</v>
      </c>
      <c r="D11" s="559">
        <f t="shared" si="1"/>
        <v>37588.469601416451</v>
      </c>
      <c r="E11" s="559">
        <f t="shared" si="2"/>
        <v>26899.751496056837</v>
      </c>
      <c r="F11" s="559">
        <f t="shared" si="3"/>
        <v>83746.741360082538</v>
      </c>
      <c r="G11" s="559">
        <f t="shared" si="4"/>
        <v>240782.36525543255</v>
      </c>
      <c r="H11" s="559">
        <f t="shared" si="5"/>
        <v>120834.12703183605</v>
      </c>
      <c r="I11" s="559">
        <f t="shared" si="6"/>
        <v>119589.36993310346</v>
      </c>
      <c r="J11" s="559">
        <f t="shared" si="7"/>
        <v>82819.589232365674</v>
      </c>
      <c r="K11" s="559">
        <f t="shared" si="8"/>
        <v>71852.992446375429</v>
      </c>
      <c r="L11" s="559">
        <f t="shared" si="9"/>
        <v>63591.367733522842</v>
      </c>
      <c r="M11" s="559">
        <f t="shared" si="10"/>
        <v>80141.101352818063</v>
      </c>
      <c r="N11" s="559">
        <f t="shared" si="11"/>
        <v>81433.176545549417</v>
      </c>
      <c r="O11" s="560">
        <f t="shared" si="12"/>
        <v>1200071.1888341054</v>
      </c>
      <c r="P11" s="561"/>
      <c r="Q11" s="561"/>
    </row>
    <row r="12" spans="1:17" x14ac:dyDescent="0.2">
      <c r="A12" s="557" t="s">
        <v>151</v>
      </c>
      <c r="B12" s="796">
        <f>'ISR Enaje'!T16</f>
        <v>2.8577348059446357</v>
      </c>
      <c r="C12" s="559">
        <f t="shared" si="0"/>
        <v>159016.95443819548</v>
      </c>
      <c r="D12" s="559">
        <f t="shared" si="1"/>
        <v>31328.355858023268</v>
      </c>
      <c r="E12" s="559">
        <f t="shared" si="2"/>
        <v>22419.773837483019</v>
      </c>
      <c r="F12" s="559">
        <f t="shared" si="3"/>
        <v>69799.269379661942</v>
      </c>
      <c r="G12" s="559">
        <f t="shared" si="4"/>
        <v>200681.63729588164</v>
      </c>
      <c r="H12" s="559">
        <f t="shared" si="5"/>
        <v>100709.99355888374</v>
      </c>
      <c r="I12" s="559">
        <f t="shared" si="6"/>
        <v>99672.542612904668</v>
      </c>
      <c r="J12" s="559">
        <f t="shared" si="7"/>
        <v>69026.528374251531</v>
      </c>
      <c r="K12" s="559">
        <f t="shared" si="8"/>
        <v>59886.346549716443</v>
      </c>
      <c r="L12" s="559">
        <f t="shared" si="9"/>
        <v>53000.641392943253</v>
      </c>
      <c r="M12" s="559">
        <f t="shared" si="10"/>
        <v>66794.12513087214</v>
      </c>
      <c r="N12" s="559">
        <f t="shared" si="11"/>
        <v>67871.013651805348</v>
      </c>
      <c r="O12" s="560">
        <f t="shared" si="12"/>
        <v>1000207.1820806225</v>
      </c>
      <c r="P12" s="561"/>
      <c r="Q12" s="561"/>
    </row>
    <row r="13" spans="1:17" x14ac:dyDescent="0.2">
      <c r="A13" s="557" t="s">
        <v>152</v>
      </c>
      <c r="B13" s="796">
        <f>'ISR Enaje'!T17</f>
        <v>3.0578406083142737</v>
      </c>
      <c r="C13" s="559">
        <f t="shared" si="0"/>
        <v>170151.72285408876</v>
      </c>
      <c r="D13" s="559">
        <f t="shared" si="1"/>
        <v>33522.046389716619</v>
      </c>
      <c r="E13" s="559">
        <f t="shared" si="2"/>
        <v>23989.662976028325</v>
      </c>
      <c r="F13" s="559">
        <f t="shared" si="3"/>
        <v>74686.790354308454</v>
      </c>
      <c r="G13" s="559">
        <f t="shared" si="4"/>
        <v>214733.87194285085</v>
      </c>
      <c r="H13" s="559">
        <f t="shared" si="5"/>
        <v>107761.96144121492</v>
      </c>
      <c r="I13" s="559">
        <f t="shared" si="6"/>
        <v>106651.86556207675</v>
      </c>
      <c r="J13" s="559">
        <f t="shared" si="7"/>
        <v>73859.94007375119</v>
      </c>
      <c r="K13" s="559">
        <f t="shared" si="8"/>
        <v>64079.739653369383</v>
      </c>
      <c r="L13" s="559">
        <f t="shared" si="9"/>
        <v>56711.880046011553</v>
      </c>
      <c r="M13" s="559">
        <f t="shared" si="10"/>
        <v>71471.218321985449</v>
      </c>
      <c r="N13" s="559">
        <f t="shared" si="11"/>
        <v>72623.513294593504</v>
      </c>
      <c r="O13" s="560">
        <f t="shared" si="12"/>
        <v>1070244.2129099958</v>
      </c>
      <c r="P13" s="561"/>
      <c r="Q13" s="561"/>
    </row>
    <row r="14" spans="1:17" x14ac:dyDescent="0.2">
      <c r="A14" s="557" t="s">
        <v>153</v>
      </c>
      <c r="B14" s="796">
        <f>'ISR Enaje'!T18</f>
        <v>3.5047212504004186</v>
      </c>
      <c r="C14" s="559">
        <f t="shared" si="0"/>
        <v>195018.1305256832</v>
      </c>
      <c r="D14" s="559">
        <f t="shared" si="1"/>
        <v>38421.043928681378</v>
      </c>
      <c r="E14" s="559">
        <f t="shared" si="2"/>
        <v>27495.573638934904</v>
      </c>
      <c r="F14" s="559">
        <f t="shared" si="3"/>
        <v>85601.708789931625</v>
      </c>
      <c r="G14" s="559">
        <f t="shared" si="4"/>
        <v>246115.62883055411</v>
      </c>
      <c r="H14" s="559">
        <f t="shared" si="5"/>
        <v>123510.56991687395</v>
      </c>
      <c r="I14" s="559">
        <f t="shared" si="6"/>
        <v>122238.24178864548</v>
      </c>
      <c r="J14" s="559">
        <f t="shared" si="7"/>
        <v>84654.020496012963</v>
      </c>
      <c r="K14" s="559">
        <f t="shared" si="8"/>
        <v>73444.516588815066</v>
      </c>
      <c r="L14" s="559">
        <f t="shared" si="9"/>
        <v>64999.899146799602</v>
      </c>
      <c r="M14" s="559">
        <f t="shared" si="10"/>
        <v>81916.204842069405</v>
      </c>
      <c r="N14" s="559">
        <f t="shared" si="11"/>
        <v>83236.89914714481</v>
      </c>
      <c r="O14" s="560">
        <f t="shared" si="12"/>
        <v>1226652.4376401466</v>
      </c>
      <c r="P14" s="561"/>
      <c r="Q14" s="561"/>
    </row>
    <row r="15" spans="1:17" x14ac:dyDescent="0.2">
      <c r="A15" s="557" t="s">
        <v>154</v>
      </c>
      <c r="B15" s="796">
        <f>'ISR Enaje'!T19</f>
        <v>2.9571648841167444</v>
      </c>
      <c r="C15" s="559">
        <f t="shared" si="0"/>
        <v>164549.68202984968</v>
      </c>
      <c r="D15" s="559">
        <f t="shared" si="1"/>
        <v>32418.373331123687</v>
      </c>
      <c r="E15" s="559">
        <f t="shared" si="2"/>
        <v>23199.83217621507</v>
      </c>
      <c r="F15" s="559">
        <f t="shared" si="3"/>
        <v>72227.817611757884</v>
      </c>
      <c r="G15" s="559">
        <f t="shared" si="4"/>
        <v>207664.0174812398</v>
      </c>
      <c r="H15" s="559">
        <f t="shared" si="5"/>
        <v>104214.02847193521</v>
      </c>
      <c r="I15" s="559">
        <f t="shared" si="6"/>
        <v>103140.48116444497</v>
      </c>
      <c r="J15" s="559">
        <f t="shared" si="7"/>
        <v>71428.190382190165</v>
      </c>
      <c r="K15" s="559">
        <f t="shared" si="8"/>
        <v>61969.991297470428</v>
      </c>
      <c r="L15" s="559">
        <f t="shared" si="9"/>
        <v>54844.709605959353</v>
      </c>
      <c r="M15" s="559">
        <f t="shared" si="10"/>
        <v>69118.11442105574</v>
      </c>
      <c r="N15" s="559">
        <f t="shared" si="11"/>
        <v>70232.47146761851</v>
      </c>
      <c r="O15" s="560">
        <f t="shared" si="12"/>
        <v>1035007.7094408604</v>
      </c>
      <c r="P15" s="561"/>
      <c r="Q15" s="561"/>
    </row>
    <row r="16" spans="1:17" x14ac:dyDescent="0.2">
      <c r="A16" s="557" t="s">
        <v>155</v>
      </c>
      <c r="B16" s="796">
        <f>'ISR Enaje'!T20</f>
        <v>4.2498259986183484</v>
      </c>
      <c r="C16" s="559">
        <f t="shared" si="0"/>
        <v>236479.04129759374</v>
      </c>
      <c r="D16" s="559">
        <f t="shared" si="1"/>
        <v>46589.368944395363</v>
      </c>
      <c r="E16" s="559">
        <f t="shared" si="2"/>
        <v>33341.140521324043</v>
      </c>
      <c r="F16" s="559">
        <f t="shared" si="3"/>
        <v>103800.65675695166</v>
      </c>
      <c r="G16" s="559">
        <f t="shared" si="4"/>
        <v>298439.88247307582</v>
      </c>
      <c r="H16" s="559">
        <f t="shared" si="5"/>
        <v>149768.95268830008</v>
      </c>
      <c r="I16" s="559">
        <f t="shared" si="6"/>
        <v>148226.12723320833</v>
      </c>
      <c r="J16" s="559">
        <f t="shared" si="7"/>
        <v>102651.48965853499</v>
      </c>
      <c r="K16" s="559">
        <f t="shared" si="8"/>
        <v>89058.841989057473</v>
      </c>
      <c r="L16" s="559">
        <f t="shared" si="9"/>
        <v>78818.896444354614</v>
      </c>
      <c r="M16" s="559">
        <f t="shared" si="10"/>
        <v>99331.613607272913</v>
      </c>
      <c r="N16" s="559">
        <f t="shared" si="11"/>
        <v>100933.08790235287</v>
      </c>
      <c r="O16" s="560">
        <f t="shared" si="12"/>
        <v>1487439.099516422</v>
      </c>
      <c r="P16" s="561"/>
      <c r="Q16" s="561"/>
    </row>
    <row r="17" spans="1:20" x14ac:dyDescent="0.2">
      <c r="A17" s="557" t="s">
        <v>277</v>
      </c>
      <c r="B17" s="796">
        <f>'ISR Enaje'!T21</f>
        <v>2.5967637526947485</v>
      </c>
      <c r="C17" s="559">
        <f t="shared" si="0"/>
        <v>144495.37531965735</v>
      </c>
      <c r="D17" s="559">
        <f t="shared" si="1"/>
        <v>28467.420683825723</v>
      </c>
      <c r="E17" s="559">
        <f t="shared" si="2"/>
        <v>20372.378823844527</v>
      </c>
      <c r="F17" s="559">
        <f t="shared" si="3"/>
        <v>63425.133890185782</v>
      </c>
      <c r="G17" s="559">
        <f t="shared" si="4"/>
        <v>182355.1998167726</v>
      </c>
      <c r="H17" s="559">
        <f t="shared" si="5"/>
        <v>91513.061416272452</v>
      </c>
      <c r="I17" s="559">
        <f t="shared" si="6"/>
        <v>90570.351474778479</v>
      </c>
      <c r="J17" s="559">
        <f t="shared" si="7"/>
        <v>62722.960326390952</v>
      </c>
      <c r="K17" s="559">
        <f t="shared" si="8"/>
        <v>54417.468576205123</v>
      </c>
      <c r="L17" s="559">
        <f t="shared" si="9"/>
        <v>48160.572545944742</v>
      </c>
      <c r="M17" s="559">
        <f t="shared" si="10"/>
        <v>60694.422264795154</v>
      </c>
      <c r="N17" s="559">
        <f t="shared" si="11"/>
        <v>61672.968304489004</v>
      </c>
      <c r="O17" s="560">
        <f t="shared" si="12"/>
        <v>908867.3134431619</v>
      </c>
      <c r="P17" s="561"/>
      <c r="Q17" s="561"/>
    </row>
    <row r="18" spans="1:20" x14ac:dyDescent="0.2">
      <c r="A18" s="557" t="s">
        <v>278</v>
      </c>
      <c r="B18" s="796">
        <f>'ISR Enaje'!T22</f>
        <v>3.2386593121117819</v>
      </c>
      <c r="C18" s="559">
        <f t="shared" si="0"/>
        <v>180213.27213554404</v>
      </c>
      <c r="D18" s="559">
        <f t="shared" si="1"/>
        <v>35504.299146890269</v>
      </c>
      <c r="E18" s="559">
        <f t="shared" si="2"/>
        <v>25408.239128124049</v>
      </c>
      <c r="F18" s="559">
        <f t="shared" si="3"/>
        <v>79103.230042480165</v>
      </c>
      <c r="G18" s="559">
        <f t="shared" si="4"/>
        <v>227431.68891884145</v>
      </c>
      <c r="H18" s="559">
        <f t="shared" si="5"/>
        <v>114134.22889475609</v>
      </c>
      <c r="I18" s="559">
        <f t="shared" si="6"/>
        <v>112958.48992833242</v>
      </c>
      <c r="J18" s="559">
        <f t="shared" si="7"/>
        <v>78227.485782439981</v>
      </c>
      <c r="K18" s="559">
        <f t="shared" si="8"/>
        <v>67868.954641325094</v>
      </c>
      <c r="L18" s="559">
        <f t="shared" si="9"/>
        <v>60065.412801105907</v>
      </c>
      <c r="M18" s="559">
        <f t="shared" si="10"/>
        <v>75697.51220423411</v>
      </c>
      <c r="N18" s="559">
        <f t="shared" si="11"/>
        <v>76917.945615050106</v>
      </c>
      <c r="O18" s="560">
        <f t="shared" si="12"/>
        <v>1133530.7592391234</v>
      </c>
      <c r="P18" s="561"/>
      <c r="Q18" s="561"/>
    </row>
    <row r="19" spans="1:20" x14ac:dyDescent="0.2">
      <c r="A19" s="557" t="s">
        <v>279</v>
      </c>
      <c r="B19" s="796">
        <f>'ISR Enaje'!T23</f>
        <v>6.5756833314824163</v>
      </c>
      <c r="C19" s="559">
        <f t="shared" si="0"/>
        <v>365899.98993160552</v>
      </c>
      <c r="D19" s="559">
        <f t="shared" si="1"/>
        <v>72086.936474939008</v>
      </c>
      <c r="E19" s="559">
        <f t="shared" si="2"/>
        <v>51588.17844541408</v>
      </c>
      <c r="F19" s="559">
        <f t="shared" si="3"/>
        <v>160608.98696923599</v>
      </c>
      <c r="G19" s="559">
        <f t="shared" si="4"/>
        <v>461770.94339057239</v>
      </c>
      <c r="H19" s="559">
        <f t="shared" si="5"/>
        <v>231734.94775696946</v>
      </c>
      <c r="I19" s="559">
        <f t="shared" si="6"/>
        <v>229347.76022700191</v>
      </c>
      <c r="J19" s="559">
        <f t="shared" si="7"/>
        <v>158830.90030484003</v>
      </c>
      <c r="K19" s="559">
        <f t="shared" si="8"/>
        <v>137799.22824580633</v>
      </c>
      <c r="L19" s="559">
        <f t="shared" si="9"/>
        <v>121955.13503928884</v>
      </c>
      <c r="M19" s="559">
        <f t="shared" si="10"/>
        <v>153694.11267636565</v>
      </c>
      <c r="N19" s="559">
        <f t="shared" si="11"/>
        <v>156172.04655680645</v>
      </c>
      <c r="O19" s="560">
        <f t="shared" si="12"/>
        <v>2301489.166018846</v>
      </c>
      <c r="P19" s="561"/>
      <c r="Q19" s="561"/>
    </row>
    <row r="20" spans="1:20" x14ac:dyDescent="0.2">
      <c r="A20" s="557" t="s">
        <v>159</v>
      </c>
      <c r="B20" s="796">
        <f>'ISR Enaje'!T24</f>
        <v>4.4717731363038817</v>
      </c>
      <c r="C20" s="559">
        <f t="shared" si="0"/>
        <v>248829.15783311392</v>
      </c>
      <c r="D20" s="559">
        <f t="shared" si="1"/>
        <v>49022.498462438118</v>
      </c>
      <c r="E20" s="559">
        <f t="shared" si="2"/>
        <v>35082.381388193608</v>
      </c>
      <c r="F20" s="559">
        <f t="shared" si="3"/>
        <v>109221.64544321172</v>
      </c>
      <c r="G20" s="559">
        <f t="shared" si="4"/>
        <v>314025.90357314923</v>
      </c>
      <c r="H20" s="559">
        <f t="shared" si="5"/>
        <v>157590.63535816353</v>
      </c>
      <c r="I20" s="559">
        <f t="shared" si="6"/>
        <v>155967.23585278893</v>
      </c>
      <c r="J20" s="559">
        <f t="shared" si="7"/>
        <v>108012.46309986529</v>
      </c>
      <c r="K20" s="559">
        <f t="shared" si="8"/>
        <v>93709.939486104588</v>
      </c>
      <c r="L20" s="559">
        <f t="shared" si="9"/>
        <v>82935.212845789458</v>
      </c>
      <c r="M20" s="559">
        <f t="shared" si="10"/>
        <v>104519.20654142766</v>
      </c>
      <c r="N20" s="559">
        <f t="shared" si="11"/>
        <v>106204.31782211253</v>
      </c>
      <c r="O20" s="560">
        <f t="shared" si="12"/>
        <v>1565120.5977063584</v>
      </c>
      <c r="P20" s="561"/>
      <c r="Q20" s="561"/>
    </row>
    <row r="21" spans="1:20" x14ac:dyDescent="0.2">
      <c r="A21" s="557" t="s">
        <v>160</v>
      </c>
      <c r="B21" s="796">
        <f>'ISR Enaje'!T25</f>
        <v>22.5211599449758</v>
      </c>
      <c r="C21" s="559">
        <f t="shared" si="0"/>
        <v>1253176.5569764739</v>
      </c>
      <c r="D21" s="559">
        <f t="shared" si="1"/>
        <v>246891.66805260605</v>
      </c>
      <c r="E21" s="559">
        <f t="shared" si="2"/>
        <v>176685.15338575508</v>
      </c>
      <c r="F21" s="559">
        <f t="shared" si="3"/>
        <v>550072.21330399159</v>
      </c>
      <c r="G21" s="559">
        <f t="shared" si="4"/>
        <v>1581526.474100596</v>
      </c>
      <c r="H21" s="559">
        <f t="shared" si="5"/>
        <v>793672.6208040748</v>
      </c>
      <c r="I21" s="559">
        <f t="shared" si="6"/>
        <v>785496.70516597643</v>
      </c>
      <c r="J21" s="559">
        <f t="shared" si="7"/>
        <v>543982.41667811573</v>
      </c>
      <c r="K21" s="559">
        <f t="shared" si="8"/>
        <v>471950.71647685376</v>
      </c>
      <c r="L21" s="559">
        <f t="shared" si="9"/>
        <v>417686.0356369628</v>
      </c>
      <c r="M21" s="559">
        <f t="shared" si="10"/>
        <v>526389.35296861909</v>
      </c>
      <c r="N21" s="559">
        <f t="shared" si="11"/>
        <v>534876.06719150452</v>
      </c>
      <c r="O21" s="560">
        <f t="shared" si="12"/>
        <v>7882405.9807415307</v>
      </c>
      <c r="P21" s="561"/>
      <c r="Q21" s="561"/>
      <c r="T21" s="561"/>
    </row>
    <row r="22" spans="1:20" x14ac:dyDescent="0.2">
      <c r="A22" s="557" t="s">
        <v>161</v>
      </c>
      <c r="B22" s="796">
        <f>'ISR Enaje'!T26</f>
        <v>3.17466433183007</v>
      </c>
      <c r="C22" s="559">
        <f t="shared" si="0"/>
        <v>176652.30950088613</v>
      </c>
      <c r="D22" s="559">
        <f t="shared" si="1"/>
        <v>34802.744366081992</v>
      </c>
      <c r="E22" s="559">
        <f t="shared" si="2"/>
        <v>24906.179601233867</v>
      </c>
      <c r="F22" s="559">
        <f t="shared" si="3"/>
        <v>77540.172876245721</v>
      </c>
      <c r="G22" s="559">
        <f t="shared" si="4"/>
        <v>222937.703894431</v>
      </c>
      <c r="H22" s="559">
        <f t="shared" si="5"/>
        <v>111878.96922595637</v>
      </c>
      <c r="I22" s="559">
        <f t="shared" si="6"/>
        <v>110726.46252471459</v>
      </c>
      <c r="J22" s="559">
        <f t="shared" si="7"/>
        <v>76681.733071923838</v>
      </c>
      <c r="K22" s="559">
        <f t="shared" si="8"/>
        <v>66527.883538918846</v>
      </c>
      <c r="L22" s="559">
        <f t="shared" si="9"/>
        <v>58878.537450109747</v>
      </c>
      <c r="M22" s="559">
        <f t="shared" si="10"/>
        <v>74201.751046903271</v>
      </c>
      <c r="N22" s="559">
        <f t="shared" si="11"/>
        <v>75398.069043119089</v>
      </c>
      <c r="O22" s="560">
        <f t="shared" si="12"/>
        <v>1111132.5161405245</v>
      </c>
      <c r="P22" s="561"/>
      <c r="Q22" s="561"/>
      <c r="T22" s="561"/>
    </row>
    <row r="23" spans="1:20" ht="13.5" thickBot="1" x14ac:dyDescent="0.25">
      <c r="A23" s="557" t="s">
        <v>162</v>
      </c>
      <c r="B23" s="796">
        <f>'ISR Enaje'!T27</f>
        <v>4.8315287297240372</v>
      </c>
      <c r="C23" s="559">
        <f t="shared" si="0"/>
        <v>268847.54396494699</v>
      </c>
      <c r="D23" s="559">
        <f t="shared" si="1"/>
        <v>52966.374300439616</v>
      </c>
      <c r="E23" s="559">
        <f t="shared" si="2"/>
        <v>37904.77030422294</v>
      </c>
      <c r="F23" s="559">
        <f t="shared" si="3"/>
        <v>118008.56210312661</v>
      </c>
      <c r="G23" s="559">
        <f t="shared" si="4"/>
        <v>339289.38896155061</v>
      </c>
      <c r="H23" s="559">
        <f t="shared" si="5"/>
        <v>170268.85288231898</v>
      </c>
      <c r="I23" s="559">
        <f t="shared" si="6"/>
        <v>168514.85036229846</v>
      </c>
      <c r="J23" s="559">
        <f t="shared" si="7"/>
        <v>116702.10064963209</v>
      </c>
      <c r="K23" s="559">
        <f t="shared" si="8"/>
        <v>101248.93439071985</v>
      </c>
      <c r="L23" s="559">
        <f t="shared" si="9"/>
        <v>89607.377511420287</v>
      </c>
      <c r="M23" s="559">
        <f t="shared" si="10"/>
        <v>112927.81047257302</v>
      </c>
      <c r="N23" s="559">
        <f t="shared" si="11"/>
        <v>114748.48950016352</v>
      </c>
      <c r="O23" s="560">
        <f t="shared" si="12"/>
        <v>1691035.0554034128</v>
      </c>
      <c r="P23" s="561"/>
      <c r="Q23" s="561"/>
      <c r="T23" s="561"/>
    </row>
    <row r="24" spans="1:20" ht="13.5" thickBot="1" x14ac:dyDescent="0.25">
      <c r="A24" s="562" t="s">
        <v>280</v>
      </c>
      <c r="B24" s="797">
        <f>SUM(B4:B23)</f>
        <v>100</v>
      </c>
      <c r="C24" s="564">
        <f>'X22.55 POE'!B194</f>
        <v>5564440.5529655786</v>
      </c>
      <c r="D24" s="564">
        <f>'X22.55 POE'!C194</f>
        <v>1096265.3284991416</v>
      </c>
      <c r="E24" s="564">
        <f>'X22.55 POE'!D194</f>
        <v>784529.54384870129</v>
      </c>
      <c r="F24" s="564">
        <f>'X22.55 POE'!E194</f>
        <v>2442468.3926047338</v>
      </c>
      <c r="G24" s="564">
        <f>'X22.55 POE'!F194</f>
        <v>7022402.3894178485</v>
      </c>
      <c r="H24" s="564">
        <f>'X22.55 POE'!G194</f>
        <v>3524119.6401215279</v>
      </c>
      <c r="I24" s="564">
        <f>'X22.55 POE'!H194</f>
        <v>3487816.3783975579</v>
      </c>
      <c r="J24" s="564">
        <f>'X22.55 POE'!I194</f>
        <v>2415428.0596878035</v>
      </c>
      <c r="K24" s="564">
        <f>'X22.55 POE'!J194</f>
        <v>2095587.960966195</v>
      </c>
      <c r="L24" s="564">
        <f>'X22.55 POE'!K194</f>
        <v>1854638.2009517387</v>
      </c>
      <c r="M24" s="564">
        <f>'X22.55 POE'!L194</f>
        <v>2337310.1308045648</v>
      </c>
      <c r="N24" s="564">
        <f>'X22.55 POE'!M194</f>
        <v>2374993.4217346073</v>
      </c>
      <c r="O24" s="564">
        <f>SUM(C24:N24)</f>
        <v>35000000</v>
      </c>
      <c r="P24" s="561"/>
      <c r="Q24" s="561"/>
      <c r="T24" s="561"/>
    </row>
    <row r="25" spans="1:20" x14ac:dyDescent="0.2">
      <c r="A25" s="566" t="s">
        <v>281</v>
      </c>
    </row>
    <row r="31" spans="1:20" x14ac:dyDescent="0.2">
      <c r="C31" s="665"/>
    </row>
  </sheetData>
  <mergeCells count="1">
    <mergeCell ref="A1:O1"/>
  </mergeCells>
  <printOptions horizontalCentered="1"/>
  <pageMargins left="0.78740157480314965" right="0.78740157480314965" top="0.98425196850393704" bottom="0.98425196850393704" header="0" footer="0"/>
  <pageSetup paperSize="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7030A0"/>
  </sheetPr>
  <dimension ref="A1:O32"/>
  <sheetViews>
    <sheetView workbookViewId="0">
      <selection activeCell="O27" sqref="O27"/>
    </sheetView>
  </sheetViews>
  <sheetFormatPr baseColWidth="10" defaultRowHeight="12.75" x14ac:dyDescent="0.2"/>
  <cols>
    <col min="1" max="1" width="15.42578125" style="552" customWidth="1"/>
    <col min="2" max="2" width="9.28515625" style="552" customWidth="1"/>
    <col min="3" max="3" width="11.7109375" style="552" bestFit="1" customWidth="1"/>
    <col min="4" max="5" width="10.85546875" style="552" bestFit="1" customWidth="1"/>
    <col min="6" max="6" width="11.7109375" style="552" bestFit="1" customWidth="1"/>
    <col min="7" max="8" width="10.85546875" style="552" bestFit="1" customWidth="1"/>
    <col min="9" max="9" width="11.7109375" style="552" bestFit="1" customWidth="1"/>
    <col min="10" max="11" width="10.85546875" style="552" bestFit="1" customWidth="1"/>
    <col min="12" max="12" width="11.7109375" style="552" bestFit="1" customWidth="1"/>
    <col min="13" max="14" width="10.85546875" style="552" bestFit="1" customWidth="1"/>
    <col min="15" max="15" width="13"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312</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83">
        <f>FOFIR!I7</f>
        <v>0.22587269026860743</v>
      </c>
      <c r="C7" s="584">
        <f t="shared" ref="C7:C26" si="0">$C$32*B7/100</f>
        <v>17101.958682830176</v>
      </c>
      <c r="D7" s="585">
        <f t="shared" ref="D7:D26" si="1">$D$32*B7/100</f>
        <v>1152.7382614331063</v>
      </c>
      <c r="E7" s="584">
        <f t="shared" ref="E7:E26" si="2">$E$32*B7/100</f>
        <v>1152.7382614331063</v>
      </c>
      <c r="F7" s="585">
        <f t="shared" ref="F7:F26" si="3">$F$32*B7/100</f>
        <v>26340.430237465262</v>
      </c>
      <c r="G7" s="584">
        <f t="shared" ref="G7:G26" si="4">$G$32*B7/100</f>
        <v>1152.7382614331063</v>
      </c>
      <c r="H7" s="584">
        <f t="shared" ref="H7:H26" si="5">$H$32*B7/100</f>
        <v>1152.7382614331063</v>
      </c>
      <c r="I7" s="586">
        <f t="shared" ref="I7:I26" si="6">$I$32*B7/100</f>
        <v>36953.607490761453</v>
      </c>
      <c r="J7" s="585">
        <f t="shared" ref="J7:J26" si="7">$J$32*B7/100</f>
        <v>1152.7382614331052</v>
      </c>
      <c r="K7" s="584">
        <f t="shared" ref="K7:K26" si="8">$K$32*B7/100</f>
        <v>1152.7382614331052</v>
      </c>
      <c r="L7" s="585">
        <f t="shared" ref="L7:L26" si="9">$L$32*B7/100</f>
        <v>18442.656428555365</v>
      </c>
      <c r="M7" s="584">
        <f t="shared" ref="M7:M26" si="10">$M$32*B7/100</f>
        <v>1152.7382614331043</v>
      </c>
      <c r="N7" s="584">
        <f t="shared" ref="N7:N26" si="11">$N$32*B7/100</f>
        <v>1152.7382614331043</v>
      </c>
      <c r="O7" s="587">
        <f t="shared" ref="O7:O27" si="12">SUM(C7:N7)</f>
        <v>108060.55893107709</v>
      </c>
    </row>
    <row r="8" spans="1:15" x14ac:dyDescent="0.2">
      <c r="A8" s="557" t="s">
        <v>144</v>
      </c>
      <c r="B8" s="588">
        <f>FOFIR!I8</f>
        <v>4.8352766877857202E-2</v>
      </c>
      <c r="C8" s="584">
        <f t="shared" si="0"/>
        <v>3661.0314436962399</v>
      </c>
      <c r="D8" s="585">
        <f t="shared" si="1"/>
        <v>246.76770069005579</v>
      </c>
      <c r="E8" s="584">
        <f t="shared" si="2"/>
        <v>246.76770069005579</v>
      </c>
      <c r="F8" s="585">
        <f t="shared" si="3"/>
        <v>5638.7192325907872</v>
      </c>
      <c r="G8" s="584">
        <f t="shared" si="4"/>
        <v>246.76770069005579</v>
      </c>
      <c r="H8" s="584">
        <f t="shared" si="5"/>
        <v>246.76770069005579</v>
      </c>
      <c r="I8" s="584">
        <f t="shared" si="6"/>
        <v>7910.6914880756758</v>
      </c>
      <c r="J8" s="585">
        <f t="shared" si="7"/>
        <v>246.76770069005556</v>
      </c>
      <c r="K8" s="584">
        <f t="shared" si="8"/>
        <v>246.76770069005556</v>
      </c>
      <c r="L8" s="585">
        <f t="shared" si="9"/>
        <v>3948.0357976782425</v>
      </c>
      <c r="M8" s="584">
        <f t="shared" si="10"/>
        <v>246.76770069005536</v>
      </c>
      <c r="N8" s="584">
        <f t="shared" si="11"/>
        <v>246.76770069005536</v>
      </c>
      <c r="O8" s="587">
        <f t="shared" si="12"/>
        <v>23132.619567561393</v>
      </c>
    </row>
    <row r="9" spans="1:15" x14ac:dyDescent="0.2">
      <c r="A9" s="557" t="s">
        <v>145</v>
      </c>
      <c r="B9" s="588">
        <f>FOFIR!I9</f>
        <v>2.0208416286846373E-2</v>
      </c>
      <c r="C9" s="584">
        <f t="shared" si="0"/>
        <v>1530.0809494591313</v>
      </c>
      <c r="D9" s="585">
        <f t="shared" si="1"/>
        <v>103.13338292076553</v>
      </c>
      <c r="E9" s="584">
        <f t="shared" si="2"/>
        <v>103.13338292076553</v>
      </c>
      <c r="F9" s="585">
        <f t="shared" si="3"/>
        <v>2356.6300945029052</v>
      </c>
      <c r="G9" s="584">
        <f t="shared" si="4"/>
        <v>103.13338292076553</v>
      </c>
      <c r="H9" s="584">
        <f t="shared" si="5"/>
        <v>103.13338292076553</v>
      </c>
      <c r="I9" s="584">
        <f t="shared" si="6"/>
        <v>3306.171642910746</v>
      </c>
      <c r="J9" s="585">
        <f t="shared" si="7"/>
        <v>103.13338292076541</v>
      </c>
      <c r="K9" s="584">
        <f t="shared" si="8"/>
        <v>103.13338292076541</v>
      </c>
      <c r="L9" s="585">
        <f t="shared" si="9"/>
        <v>1650.0307235032253</v>
      </c>
      <c r="M9" s="584">
        <f t="shared" si="10"/>
        <v>103.13338292076533</v>
      </c>
      <c r="N9" s="584">
        <f t="shared" si="11"/>
        <v>103.13338292076533</v>
      </c>
      <c r="O9" s="587">
        <f t="shared" si="12"/>
        <v>9667.9804737421291</v>
      </c>
    </row>
    <row r="10" spans="1:15" x14ac:dyDescent="0.2">
      <c r="A10" s="557" t="s">
        <v>275</v>
      </c>
      <c r="B10" s="588">
        <f>FOFIR!I10</f>
        <v>28.211882292405132</v>
      </c>
      <c r="C10" s="584">
        <f t="shared" si="0"/>
        <v>2136063.6593818329</v>
      </c>
      <c r="D10" s="585">
        <f t="shared" si="1"/>
        <v>143978.96490642012</v>
      </c>
      <c r="E10" s="584">
        <f t="shared" si="2"/>
        <v>143978.96490642012</v>
      </c>
      <c r="F10" s="585">
        <f t="shared" si="3"/>
        <v>3289964.4330926863</v>
      </c>
      <c r="G10" s="584">
        <f t="shared" si="4"/>
        <v>143978.96490642012</v>
      </c>
      <c r="H10" s="584">
        <f t="shared" si="5"/>
        <v>143978.96490642012</v>
      </c>
      <c r="I10" s="584">
        <f t="shared" si="6"/>
        <v>4615568.2812708644</v>
      </c>
      <c r="J10" s="585">
        <f t="shared" si="7"/>
        <v>143978.96490641998</v>
      </c>
      <c r="K10" s="584">
        <f t="shared" si="8"/>
        <v>143978.96490641998</v>
      </c>
      <c r="L10" s="585">
        <f t="shared" si="9"/>
        <v>2303519.0828201962</v>
      </c>
      <c r="M10" s="584">
        <f t="shared" si="10"/>
        <v>143978.96490641986</v>
      </c>
      <c r="N10" s="584">
        <f t="shared" si="11"/>
        <v>143978.96490641986</v>
      </c>
      <c r="O10" s="587">
        <f t="shared" si="12"/>
        <v>13496947.175816942</v>
      </c>
    </row>
    <row r="11" spans="1:15" x14ac:dyDescent="0.2">
      <c r="A11" s="557" t="s">
        <v>147</v>
      </c>
      <c r="B11" s="588">
        <f>FOFIR!I11</f>
        <v>2.3191993674755906</v>
      </c>
      <c r="C11" s="584">
        <f t="shared" si="0"/>
        <v>175598.26162537152</v>
      </c>
      <c r="D11" s="585">
        <f t="shared" si="1"/>
        <v>11836.003031625178</v>
      </c>
      <c r="E11" s="584">
        <f t="shared" si="2"/>
        <v>11836.003031625178</v>
      </c>
      <c r="F11" s="585">
        <f t="shared" si="3"/>
        <v>270456.37554995145</v>
      </c>
      <c r="G11" s="584">
        <f t="shared" si="4"/>
        <v>11836.003031625178</v>
      </c>
      <c r="H11" s="584">
        <f t="shared" si="5"/>
        <v>11836.003031625178</v>
      </c>
      <c r="I11" s="584">
        <f t="shared" si="6"/>
        <v>379429.59379727399</v>
      </c>
      <c r="J11" s="585">
        <f t="shared" si="7"/>
        <v>11836.003031625165</v>
      </c>
      <c r="K11" s="584">
        <f t="shared" si="8"/>
        <v>11836.003031625165</v>
      </c>
      <c r="L11" s="585">
        <f t="shared" si="9"/>
        <v>189364.18153434404</v>
      </c>
      <c r="M11" s="584">
        <f t="shared" si="10"/>
        <v>11836.003031625156</v>
      </c>
      <c r="N11" s="584">
        <f t="shared" si="11"/>
        <v>11836.003031625156</v>
      </c>
      <c r="O11" s="587">
        <f t="shared" si="12"/>
        <v>1109536.4367599424</v>
      </c>
    </row>
    <row r="12" spans="1:15" x14ac:dyDescent="0.2">
      <c r="A12" s="557" t="s">
        <v>276</v>
      </c>
      <c r="B12" s="588">
        <f>FOFIR!I12</f>
        <v>2.3009140308193256E-3</v>
      </c>
      <c r="C12" s="584">
        <f t="shared" si="0"/>
        <v>174.2137867177357</v>
      </c>
      <c r="D12" s="585">
        <f t="shared" si="1"/>
        <v>11.742684059943404</v>
      </c>
      <c r="E12" s="584">
        <f t="shared" si="2"/>
        <v>11.742684059943404</v>
      </c>
      <c r="F12" s="585">
        <f t="shared" si="3"/>
        <v>268.32400782550394</v>
      </c>
      <c r="G12" s="584">
        <f t="shared" si="4"/>
        <v>11.742684059943404</v>
      </c>
      <c r="H12" s="584">
        <f t="shared" si="5"/>
        <v>11.742684059943404</v>
      </c>
      <c r="I12" s="584">
        <f t="shared" si="6"/>
        <v>376.43804509420374</v>
      </c>
      <c r="J12" s="585">
        <f t="shared" si="7"/>
        <v>11.742684059943395</v>
      </c>
      <c r="K12" s="584">
        <f t="shared" si="8"/>
        <v>11.742684059943395</v>
      </c>
      <c r="L12" s="585">
        <f t="shared" si="9"/>
        <v>187.8711715505743</v>
      </c>
      <c r="M12" s="584">
        <f t="shared" si="10"/>
        <v>11.742684059943382</v>
      </c>
      <c r="N12" s="584">
        <f t="shared" si="11"/>
        <v>11.742684059943382</v>
      </c>
      <c r="O12" s="587">
        <f t="shared" si="12"/>
        <v>1100.7884836675651</v>
      </c>
    </row>
    <row r="13" spans="1:15" x14ac:dyDescent="0.2">
      <c r="A13" s="557" t="s">
        <v>149</v>
      </c>
      <c r="B13" s="588">
        <f>FOFIR!I13</f>
        <v>1.0836514180027873E-3</v>
      </c>
      <c r="C13" s="584">
        <f t="shared" si="0"/>
        <v>82.048705203073084</v>
      </c>
      <c r="D13" s="585">
        <f t="shared" si="1"/>
        <v>5.5304005548548014</v>
      </c>
      <c r="E13" s="584">
        <f t="shared" si="2"/>
        <v>5.5304005548548014</v>
      </c>
      <c r="F13" s="585">
        <f t="shared" si="3"/>
        <v>126.37138444531932</v>
      </c>
      <c r="G13" s="584">
        <f t="shared" si="4"/>
        <v>5.5304005548548014</v>
      </c>
      <c r="H13" s="584">
        <f t="shared" si="5"/>
        <v>5.5304005548548014</v>
      </c>
      <c r="I13" s="584">
        <f t="shared" si="6"/>
        <v>177.28937973891763</v>
      </c>
      <c r="J13" s="585">
        <f t="shared" si="7"/>
        <v>5.530400554854797</v>
      </c>
      <c r="K13" s="584">
        <f t="shared" si="8"/>
        <v>5.530400554854797</v>
      </c>
      <c r="L13" s="585">
        <f t="shared" si="9"/>
        <v>88.480864006957304</v>
      </c>
      <c r="M13" s="584">
        <f t="shared" si="10"/>
        <v>5.5304005548547908</v>
      </c>
      <c r="N13" s="584">
        <f t="shared" si="11"/>
        <v>5.5304005548547908</v>
      </c>
      <c r="O13" s="587">
        <f t="shared" si="12"/>
        <v>518.43353783310556</v>
      </c>
    </row>
    <row r="14" spans="1:15" x14ac:dyDescent="0.2">
      <c r="A14" s="557" t="s">
        <v>150</v>
      </c>
      <c r="B14" s="588">
        <f>FOFIR!I14</f>
        <v>0.18517918978003431</v>
      </c>
      <c r="C14" s="584">
        <f t="shared" si="0"/>
        <v>14020.848863012217</v>
      </c>
      <c r="D14" s="585">
        <f t="shared" si="1"/>
        <v>945.05952457899173</v>
      </c>
      <c r="E14" s="584">
        <f t="shared" si="2"/>
        <v>945.05952457899173</v>
      </c>
      <c r="F14" s="585">
        <f t="shared" si="3"/>
        <v>21594.906068683122</v>
      </c>
      <c r="G14" s="584">
        <f t="shared" si="4"/>
        <v>945.05952457899173</v>
      </c>
      <c r="H14" s="584">
        <f t="shared" si="5"/>
        <v>945.05952457899173</v>
      </c>
      <c r="I14" s="584">
        <f t="shared" si="6"/>
        <v>30296.000310842719</v>
      </c>
      <c r="J14" s="585">
        <f t="shared" si="7"/>
        <v>945.05952457899082</v>
      </c>
      <c r="K14" s="584">
        <f t="shared" si="8"/>
        <v>945.05952457899082</v>
      </c>
      <c r="L14" s="585">
        <f t="shared" si="9"/>
        <v>15120.004861012982</v>
      </c>
      <c r="M14" s="584">
        <f t="shared" si="10"/>
        <v>945.05952457898991</v>
      </c>
      <c r="N14" s="584">
        <f t="shared" si="11"/>
        <v>945.05952457898991</v>
      </c>
      <c r="O14" s="587">
        <f t="shared" si="12"/>
        <v>88592.236300182936</v>
      </c>
    </row>
    <row r="15" spans="1:15" x14ac:dyDescent="0.2">
      <c r="A15" s="557" t="s">
        <v>151</v>
      </c>
      <c r="B15" s="588">
        <f>FOFIR!I15</f>
        <v>3.8255788252077323E-2</v>
      </c>
      <c r="C15" s="584">
        <f t="shared" si="0"/>
        <v>2896.5383521491458</v>
      </c>
      <c r="D15" s="585">
        <f t="shared" si="1"/>
        <v>195.23790497651714</v>
      </c>
      <c r="E15" s="584">
        <f t="shared" si="2"/>
        <v>195.23790497651714</v>
      </c>
      <c r="F15" s="585">
        <f t="shared" si="3"/>
        <v>4461.2472647081049</v>
      </c>
      <c r="G15" s="584">
        <f t="shared" si="4"/>
        <v>195.23790497651714</v>
      </c>
      <c r="H15" s="584">
        <f t="shared" si="5"/>
        <v>195.23790497651714</v>
      </c>
      <c r="I15" s="584">
        <f t="shared" si="6"/>
        <v>6258.7884424442436</v>
      </c>
      <c r="J15" s="585">
        <f t="shared" si="7"/>
        <v>195.23790497651694</v>
      </c>
      <c r="K15" s="584">
        <f t="shared" si="8"/>
        <v>195.23790497651694</v>
      </c>
      <c r="L15" s="585">
        <f t="shared" si="9"/>
        <v>3123.6107308838518</v>
      </c>
      <c r="M15" s="584">
        <f t="shared" si="10"/>
        <v>195.2379049765168</v>
      </c>
      <c r="N15" s="584">
        <f t="shared" si="11"/>
        <v>195.2379049765168</v>
      </c>
      <c r="O15" s="587">
        <f t="shared" si="12"/>
        <v>18302.088029997481</v>
      </c>
    </row>
    <row r="16" spans="1:15" x14ac:dyDescent="0.2">
      <c r="A16" s="557" t="s">
        <v>152</v>
      </c>
      <c r="B16" s="588">
        <f>FOFIR!I16</f>
        <v>6.5489885090696488E-3</v>
      </c>
      <c r="C16" s="584">
        <f t="shared" si="0"/>
        <v>495.85689515296383</v>
      </c>
      <c r="D16" s="585">
        <f t="shared" si="1"/>
        <v>33.422675486411215</v>
      </c>
      <c r="E16" s="584">
        <f t="shared" si="2"/>
        <v>33.422675486411215</v>
      </c>
      <c r="F16" s="585">
        <f t="shared" si="3"/>
        <v>763.71860070365403</v>
      </c>
      <c r="G16" s="584">
        <f t="shared" si="4"/>
        <v>33.422675486411215</v>
      </c>
      <c r="H16" s="584">
        <f t="shared" si="5"/>
        <v>33.422675486411215</v>
      </c>
      <c r="I16" s="584">
        <f t="shared" si="6"/>
        <v>1071.4387407254521</v>
      </c>
      <c r="J16" s="585">
        <f t="shared" si="7"/>
        <v>33.42267548641118</v>
      </c>
      <c r="K16" s="584">
        <f t="shared" si="8"/>
        <v>33.42267548641118</v>
      </c>
      <c r="L16" s="585">
        <f t="shared" si="9"/>
        <v>534.72929765743845</v>
      </c>
      <c r="M16" s="584">
        <f t="shared" si="10"/>
        <v>33.422675486411151</v>
      </c>
      <c r="N16" s="584">
        <f t="shared" si="11"/>
        <v>33.422675486411151</v>
      </c>
      <c r="O16" s="587">
        <f t="shared" si="12"/>
        <v>3133.1249381307985</v>
      </c>
    </row>
    <row r="17" spans="1:15" x14ac:dyDescent="0.2">
      <c r="A17" s="557" t="s">
        <v>153</v>
      </c>
      <c r="B17" s="588">
        <f>FOFIR!I17</f>
        <v>4.1891016822647398E-2</v>
      </c>
      <c r="C17" s="584">
        <f t="shared" si="0"/>
        <v>3171.7798111435964</v>
      </c>
      <c r="D17" s="585">
        <f t="shared" si="1"/>
        <v>213.79024548907583</v>
      </c>
      <c r="E17" s="584">
        <f t="shared" si="2"/>
        <v>213.79024548907583</v>
      </c>
      <c r="F17" s="585">
        <f t="shared" si="3"/>
        <v>4885.1740548236858</v>
      </c>
      <c r="G17" s="584">
        <f t="shared" si="4"/>
        <v>213.79024548907583</v>
      </c>
      <c r="H17" s="584">
        <f t="shared" si="5"/>
        <v>213.79024548907583</v>
      </c>
      <c r="I17" s="584">
        <f t="shared" si="6"/>
        <v>6853.52528104256</v>
      </c>
      <c r="J17" s="585">
        <f t="shared" si="7"/>
        <v>213.79024548907563</v>
      </c>
      <c r="K17" s="584">
        <f t="shared" si="8"/>
        <v>213.79024548907563</v>
      </c>
      <c r="L17" s="585">
        <f t="shared" si="9"/>
        <v>3420.4295782025101</v>
      </c>
      <c r="M17" s="584">
        <f t="shared" si="10"/>
        <v>213.79024548907543</v>
      </c>
      <c r="N17" s="584">
        <f t="shared" si="11"/>
        <v>213.79024548907543</v>
      </c>
      <c r="O17" s="587">
        <f t="shared" si="12"/>
        <v>20041.230689124957</v>
      </c>
    </row>
    <row r="18" spans="1:15" x14ac:dyDescent="0.2">
      <c r="A18" s="557" t="s">
        <v>154</v>
      </c>
      <c r="B18" s="588">
        <f>FOFIR!I18</f>
        <v>2.7375715037541992E-2</v>
      </c>
      <c r="C18" s="584">
        <f t="shared" si="0"/>
        <v>2072.753226289637</v>
      </c>
      <c r="D18" s="585">
        <f t="shared" si="1"/>
        <v>139.71159647647855</v>
      </c>
      <c r="E18" s="584">
        <f t="shared" si="2"/>
        <v>139.71159647647855</v>
      </c>
      <c r="F18" s="585">
        <f t="shared" si="3"/>
        <v>3192.4537282023193</v>
      </c>
      <c r="G18" s="584">
        <f t="shared" si="4"/>
        <v>139.71159647647855</v>
      </c>
      <c r="H18" s="584">
        <f t="shared" si="5"/>
        <v>139.71159647647855</v>
      </c>
      <c r="I18" s="584">
        <f t="shared" si="6"/>
        <v>4478.7682259118274</v>
      </c>
      <c r="J18" s="585">
        <f t="shared" si="7"/>
        <v>139.71159647647841</v>
      </c>
      <c r="K18" s="584">
        <f t="shared" si="8"/>
        <v>139.71159647647841</v>
      </c>
      <c r="L18" s="585">
        <f t="shared" si="9"/>
        <v>2235.2454664750312</v>
      </c>
      <c r="M18" s="584">
        <f t="shared" si="10"/>
        <v>139.71159647647829</v>
      </c>
      <c r="N18" s="584">
        <f t="shared" si="11"/>
        <v>139.71159647647829</v>
      </c>
      <c r="O18" s="587">
        <f t="shared" si="12"/>
        <v>13096.913418690643</v>
      </c>
    </row>
    <row r="19" spans="1:15" x14ac:dyDescent="0.2">
      <c r="A19" s="557" t="s">
        <v>155</v>
      </c>
      <c r="B19" s="588">
        <f>FOFIR!I19</f>
        <v>0.16136336900309145</v>
      </c>
      <c r="C19" s="584">
        <f t="shared" si="0"/>
        <v>12217.633155789676</v>
      </c>
      <c r="D19" s="585">
        <f t="shared" si="1"/>
        <v>823.5158009691653</v>
      </c>
      <c r="E19" s="584">
        <f t="shared" si="2"/>
        <v>823.5158009691653</v>
      </c>
      <c r="F19" s="585">
        <f t="shared" si="3"/>
        <v>18817.593924496803</v>
      </c>
      <c r="G19" s="584">
        <f t="shared" si="4"/>
        <v>823.5158009691653</v>
      </c>
      <c r="H19" s="584">
        <f t="shared" si="5"/>
        <v>823.5158009691653</v>
      </c>
      <c r="I19" s="584">
        <f t="shared" si="6"/>
        <v>26399.643951803133</v>
      </c>
      <c r="J19" s="585">
        <f t="shared" si="7"/>
        <v>823.5158009691645</v>
      </c>
      <c r="K19" s="584">
        <f t="shared" si="8"/>
        <v>823.5158009691645</v>
      </c>
      <c r="L19" s="585">
        <f t="shared" si="9"/>
        <v>13175.4271449957</v>
      </c>
      <c r="M19" s="584">
        <f t="shared" si="10"/>
        <v>823.51580096916382</v>
      </c>
      <c r="N19" s="584">
        <f t="shared" si="11"/>
        <v>823.51580096916382</v>
      </c>
      <c r="O19" s="587">
        <f t="shared" si="12"/>
        <v>77198.424584838634</v>
      </c>
    </row>
    <row r="20" spans="1:15" x14ac:dyDescent="0.2">
      <c r="A20" s="557" t="s">
        <v>277</v>
      </c>
      <c r="B20" s="588">
        <f>FOFIR!I20</f>
        <v>7.6100903654580266E-3</v>
      </c>
      <c r="C20" s="584">
        <f t="shared" si="0"/>
        <v>576.19825950581298</v>
      </c>
      <c r="D20" s="585">
        <f t="shared" si="1"/>
        <v>38.837994654399097</v>
      </c>
      <c r="E20" s="584">
        <f t="shared" si="2"/>
        <v>38.837994654399097</v>
      </c>
      <c r="F20" s="585">
        <f t="shared" si="3"/>
        <v>887.46033942295207</v>
      </c>
      <c r="G20" s="584">
        <f t="shared" si="4"/>
        <v>38.837994654399097</v>
      </c>
      <c r="H20" s="584">
        <f t="shared" si="5"/>
        <v>38.837994654399097</v>
      </c>
      <c r="I20" s="584">
        <f t="shared" si="6"/>
        <v>1245.038928787427</v>
      </c>
      <c r="J20" s="585">
        <f t="shared" si="7"/>
        <v>38.837994654399061</v>
      </c>
      <c r="K20" s="584">
        <f t="shared" si="8"/>
        <v>38.837994654399061</v>
      </c>
      <c r="L20" s="585">
        <f t="shared" si="9"/>
        <v>621.36897485701968</v>
      </c>
      <c r="M20" s="584">
        <f t="shared" si="10"/>
        <v>38.837994654399026</v>
      </c>
      <c r="N20" s="584">
        <f t="shared" si="11"/>
        <v>38.837994654399026</v>
      </c>
      <c r="O20" s="587">
        <f t="shared" si="12"/>
        <v>3640.7704598084047</v>
      </c>
    </row>
    <row r="21" spans="1:15" x14ac:dyDescent="0.2">
      <c r="A21" s="557" t="s">
        <v>278</v>
      </c>
      <c r="B21" s="588">
        <f>FOFIR!I21</f>
        <v>5.0263404502668231E-2</v>
      </c>
      <c r="C21" s="584">
        <f t="shared" si="0"/>
        <v>3805.6954386153297</v>
      </c>
      <c r="D21" s="585">
        <f t="shared" si="1"/>
        <v>256.51861431858777</v>
      </c>
      <c r="E21" s="584">
        <f t="shared" si="2"/>
        <v>256.51861431858777</v>
      </c>
      <c r="F21" s="585">
        <f t="shared" si="3"/>
        <v>5861.5306623637371</v>
      </c>
      <c r="G21" s="584">
        <f t="shared" si="4"/>
        <v>256.51861431858777</v>
      </c>
      <c r="H21" s="584">
        <f t="shared" si="5"/>
        <v>256.51861431858777</v>
      </c>
      <c r="I21" s="584">
        <f t="shared" si="6"/>
        <v>8223.2788697568521</v>
      </c>
      <c r="J21" s="585">
        <f t="shared" si="7"/>
        <v>256.51861431858754</v>
      </c>
      <c r="K21" s="584">
        <f t="shared" si="8"/>
        <v>256.51861431858754</v>
      </c>
      <c r="L21" s="585">
        <f t="shared" si="9"/>
        <v>4104.0406393080866</v>
      </c>
      <c r="M21" s="584">
        <f t="shared" si="10"/>
        <v>256.51861431858731</v>
      </c>
      <c r="N21" s="584">
        <f t="shared" si="11"/>
        <v>256.51861431858731</v>
      </c>
      <c r="O21" s="587">
        <f t="shared" si="12"/>
        <v>24046.694524592705</v>
      </c>
    </row>
    <row r="22" spans="1:15" x14ac:dyDescent="0.2">
      <c r="A22" s="557" t="s">
        <v>279</v>
      </c>
      <c r="B22" s="588">
        <f>FOFIR!I22</f>
        <v>1.0898695760003418</v>
      </c>
      <c r="C22" s="584">
        <f t="shared" si="0"/>
        <v>82519.513254418387</v>
      </c>
      <c r="D22" s="585">
        <f t="shared" si="1"/>
        <v>5562.1348412392836</v>
      </c>
      <c r="E22" s="584">
        <f t="shared" si="2"/>
        <v>5562.1348412392836</v>
      </c>
      <c r="F22" s="585">
        <f t="shared" si="3"/>
        <v>127096.52282634868</v>
      </c>
      <c r="G22" s="584">
        <f t="shared" si="4"/>
        <v>5562.1348412392836</v>
      </c>
      <c r="H22" s="584">
        <f t="shared" si="5"/>
        <v>5562.1348412392836</v>
      </c>
      <c r="I22" s="584">
        <f t="shared" si="6"/>
        <v>178306.69338442263</v>
      </c>
      <c r="J22" s="585">
        <f t="shared" si="7"/>
        <v>5562.134841239279</v>
      </c>
      <c r="K22" s="584">
        <f t="shared" si="8"/>
        <v>5562.134841239279</v>
      </c>
      <c r="L22" s="585">
        <f t="shared" si="9"/>
        <v>88988.580771790614</v>
      </c>
      <c r="M22" s="584">
        <f t="shared" si="10"/>
        <v>5562.1348412392745</v>
      </c>
      <c r="N22" s="584">
        <f t="shared" si="11"/>
        <v>5562.1348412392745</v>
      </c>
      <c r="O22" s="587">
        <f t="shared" si="12"/>
        <v>521408.38896689448</v>
      </c>
    </row>
    <row r="23" spans="1:15" x14ac:dyDescent="0.2">
      <c r="A23" s="557" t="s">
        <v>159</v>
      </c>
      <c r="B23" s="588">
        <f>FOFIR!I23</f>
        <v>0.17510378888016548</v>
      </c>
      <c r="C23" s="584">
        <f t="shared" si="0"/>
        <v>13257.989529740908</v>
      </c>
      <c r="D23" s="585">
        <f t="shared" si="1"/>
        <v>893.63985050177303</v>
      </c>
      <c r="E23" s="584">
        <f t="shared" si="2"/>
        <v>893.63985050177303</v>
      </c>
      <c r="F23" s="585">
        <f t="shared" si="3"/>
        <v>20419.950414673389</v>
      </c>
      <c r="G23" s="584">
        <f t="shared" si="4"/>
        <v>893.63985050177303</v>
      </c>
      <c r="H23" s="584">
        <f t="shared" si="5"/>
        <v>893.63985050177303</v>
      </c>
      <c r="I23" s="584">
        <f t="shared" si="6"/>
        <v>28647.627460972944</v>
      </c>
      <c r="J23" s="585">
        <f t="shared" si="7"/>
        <v>893.63985050177234</v>
      </c>
      <c r="K23" s="584">
        <f t="shared" si="8"/>
        <v>893.63985050177234</v>
      </c>
      <c r="L23" s="585">
        <f t="shared" si="9"/>
        <v>14297.341629989945</v>
      </c>
      <c r="M23" s="584">
        <f t="shared" si="10"/>
        <v>893.63985050177143</v>
      </c>
      <c r="N23" s="584">
        <f t="shared" si="11"/>
        <v>893.63985050177143</v>
      </c>
      <c r="O23" s="587">
        <f t="shared" si="12"/>
        <v>83772.027839391347</v>
      </c>
    </row>
    <row r="24" spans="1:15" x14ac:dyDescent="0.2">
      <c r="A24" s="557" t="s">
        <v>160</v>
      </c>
      <c r="B24" s="588">
        <f>FOFIR!I24</f>
        <v>66.150711606261012</v>
      </c>
      <c r="C24" s="584">
        <f t="shared" si="0"/>
        <v>5008603.4543828322</v>
      </c>
      <c r="D24" s="585">
        <f t="shared" si="1"/>
        <v>337599.27417025255</v>
      </c>
      <c r="E24" s="584">
        <f t="shared" si="2"/>
        <v>337599.27417025255</v>
      </c>
      <c r="F24" s="585">
        <f t="shared" si="3"/>
        <v>7714249.1292386763</v>
      </c>
      <c r="G24" s="584">
        <f t="shared" si="4"/>
        <v>337599.27417025255</v>
      </c>
      <c r="H24" s="584">
        <f t="shared" si="5"/>
        <v>337599.27417025255</v>
      </c>
      <c r="I24" s="584">
        <f t="shared" si="6"/>
        <v>10822501.069187796</v>
      </c>
      <c r="J24" s="585">
        <f t="shared" si="7"/>
        <v>337599.27417025226</v>
      </c>
      <c r="K24" s="584">
        <f t="shared" si="8"/>
        <v>337599.27417025226</v>
      </c>
      <c r="L24" s="585">
        <f t="shared" si="9"/>
        <v>5401249.9041292062</v>
      </c>
      <c r="M24" s="584">
        <f t="shared" si="10"/>
        <v>337599.27417025185</v>
      </c>
      <c r="N24" s="584">
        <f t="shared" si="11"/>
        <v>337599.27417025185</v>
      </c>
      <c r="O24" s="587">
        <f t="shared" si="12"/>
        <v>31647397.750300534</v>
      </c>
    </row>
    <row r="25" spans="1:15" x14ac:dyDescent="0.2">
      <c r="A25" s="557" t="s">
        <v>161</v>
      </c>
      <c r="B25" s="588">
        <f>FOFIR!I25</f>
        <v>2.8078504416068892E-2</v>
      </c>
      <c r="C25" s="584">
        <f t="shared" si="0"/>
        <v>2125.9649487869688</v>
      </c>
      <c r="D25" s="585">
        <f t="shared" si="1"/>
        <v>143.29827269392362</v>
      </c>
      <c r="E25" s="584">
        <f t="shared" si="2"/>
        <v>143.29827269392362</v>
      </c>
      <c r="F25" s="585">
        <f t="shared" si="3"/>
        <v>3274.410402887981</v>
      </c>
      <c r="G25" s="584">
        <f t="shared" si="4"/>
        <v>143.29827269392362</v>
      </c>
      <c r="H25" s="584">
        <f t="shared" si="5"/>
        <v>143.29827269392362</v>
      </c>
      <c r="I25" s="584">
        <f t="shared" si="6"/>
        <v>4593.7471674203171</v>
      </c>
      <c r="J25" s="585">
        <f t="shared" si="7"/>
        <v>143.29827269392345</v>
      </c>
      <c r="K25" s="584">
        <f t="shared" si="8"/>
        <v>143.29827269392345</v>
      </c>
      <c r="L25" s="585">
        <f t="shared" si="9"/>
        <v>2292.6286898934795</v>
      </c>
      <c r="M25" s="584">
        <f t="shared" si="10"/>
        <v>143.29827269392334</v>
      </c>
      <c r="N25" s="584">
        <f t="shared" si="11"/>
        <v>143.29827269392334</v>
      </c>
      <c r="O25" s="587">
        <f t="shared" si="12"/>
        <v>13433.137390540131</v>
      </c>
    </row>
    <row r="26" spans="1:15" ht="13.5" thickBot="1" x14ac:dyDescent="0.25">
      <c r="A26" s="557" t="s">
        <v>162</v>
      </c>
      <c r="B26" s="589">
        <f>FOFIR!I26</f>
        <v>1.2088488634069492</v>
      </c>
      <c r="C26" s="584">
        <f t="shared" si="0"/>
        <v>91528.03418238282</v>
      </c>
      <c r="D26" s="585">
        <f t="shared" si="1"/>
        <v>6169.3440472240436</v>
      </c>
      <c r="E26" s="584">
        <f t="shared" si="2"/>
        <v>6169.3440472240436</v>
      </c>
      <c r="F26" s="585">
        <f t="shared" si="3"/>
        <v>140971.44332209416</v>
      </c>
      <c r="G26" s="584">
        <f t="shared" si="4"/>
        <v>6169.3440472240436</v>
      </c>
      <c r="H26" s="584">
        <f t="shared" si="5"/>
        <v>6169.3440472240436</v>
      </c>
      <c r="I26" s="590">
        <f t="shared" si="6"/>
        <v>197772.14483464308</v>
      </c>
      <c r="J26" s="585">
        <f t="shared" si="7"/>
        <v>6169.3440472240372</v>
      </c>
      <c r="K26" s="584">
        <f t="shared" si="8"/>
        <v>6169.3440472240372</v>
      </c>
      <c r="L26" s="585">
        <f t="shared" si="9"/>
        <v>98703.319269591986</v>
      </c>
      <c r="M26" s="584">
        <f t="shared" si="10"/>
        <v>6169.3440472240318</v>
      </c>
      <c r="N26" s="584">
        <f t="shared" si="11"/>
        <v>6169.3440472240318</v>
      </c>
      <c r="O26" s="587">
        <f t="shared" si="12"/>
        <v>578329.69398650434</v>
      </c>
    </row>
    <row r="27" spans="1:15" ht="13.5" thickBot="1" x14ac:dyDescent="0.25">
      <c r="A27" s="562" t="s">
        <v>280</v>
      </c>
      <c r="B27" s="591">
        <f t="shared" ref="B27:N27" si="13">SUM(B7:B26)</f>
        <v>99.999999999999972</v>
      </c>
      <c r="C27" s="592">
        <f t="shared" si="13"/>
        <v>7571503.5148749305</v>
      </c>
      <c r="D27" s="592">
        <f t="shared" si="13"/>
        <v>510348.66590656526</v>
      </c>
      <c r="E27" s="592">
        <f t="shared" si="13"/>
        <v>510348.66590656526</v>
      </c>
      <c r="F27" s="592">
        <f t="shared" si="13"/>
        <v>11661626.824447554</v>
      </c>
      <c r="G27" s="592">
        <f t="shared" si="13"/>
        <v>510348.66590656526</v>
      </c>
      <c r="H27" s="592">
        <f t="shared" si="13"/>
        <v>510348.66590656526</v>
      </c>
      <c r="I27" s="592">
        <f t="shared" si="13"/>
        <v>16360369.837901289</v>
      </c>
      <c r="J27" s="592">
        <f t="shared" si="13"/>
        <v>510348.66590656486</v>
      </c>
      <c r="K27" s="592">
        <f t="shared" si="13"/>
        <v>510348.66590656486</v>
      </c>
      <c r="L27" s="592">
        <f t="shared" si="13"/>
        <v>8165066.9705236992</v>
      </c>
      <c r="M27" s="592">
        <f t="shared" si="13"/>
        <v>510348.66590656427</v>
      </c>
      <c r="N27" s="592">
        <f t="shared" si="13"/>
        <v>510348.66590656427</v>
      </c>
      <c r="O27" s="592">
        <f t="shared" si="12"/>
        <v>47841356.474999987</v>
      </c>
    </row>
    <row r="28" spans="1:15" x14ac:dyDescent="0.2">
      <c r="A28" s="565"/>
      <c r="B28" s="565"/>
      <c r="C28" s="565"/>
      <c r="D28" s="565"/>
      <c r="E28" s="565"/>
      <c r="F28" s="565"/>
      <c r="G28" s="565"/>
      <c r="H28" s="565"/>
      <c r="I28" s="565"/>
      <c r="J28" s="565"/>
      <c r="K28" s="565"/>
      <c r="L28" s="565"/>
      <c r="M28" s="565"/>
      <c r="N28" s="565"/>
      <c r="O28" s="565"/>
    </row>
    <row r="29" spans="1:15" x14ac:dyDescent="0.2">
      <c r="A29" s="566" t="s">
        <v>281</v>
      </c>
    </row>
    <row r="32" spans="1:15" x14ac:dyDescent="0.2">
      <c r="C32" s="561">
        <f>'FOFIR ESTIMACIONES'!C33</f>
        <v>7571503.5148749314</v>
      </c>
      <c r="D32" s="561">
        <f>'FOFIR ESTIMACIONES'!D33</f>
        <v>510348.66590656526</v>
      </c>
      <c r="E32" s="561">
        <f>'FOFIR ESTIMACIONES'!E33</f>
        <v>510348.66590656526</v>
      </c>
      <c r="F32" s="561">
        <f>'FOFIR ESTIMACIONES'!F33</f>
        <v>11661626.824447554</v>
      </c>
      <c r="G32" s="561">
        <f>'FOFIR ESTIMACIONES'!G33</f>
        <v>510348.66590656526</v>
      </c>
      <c r="H32" s="561">
        <f>'FOFIR ESTIMACIONES'!H33</f>
        <v>510348.66590656526</v>
      </c>
      <c r="I32" s="561">
        <f>'FOFIR ESTIMACIONES'!I33</f>
        <v>16360369.837901291</v>
      </c>
      <c r="J32" s="561">
        <f>'FOFIR ESTIMACIONES'!J33</f>
        <v>510348.6659065648</v>
      </c>
      <c r="K32" s="561">
        <f>'FOFIR ESTIMACIONES'!K33</f>
        <v>510348.6659065648</v>
      </c>
      <c r="L32" s="561">
        <f>'FOFIR ESTIMACIONES'!L33</f>
        <v>8165066.970523701</v>
      </c>
      <c r="M32" s="561">
        <f>'FOFIR ESTIMACIONES'!M33</f>
        <v>510348.66590656433</v>
      </c>
      <c r="N32" s="561">
        <f>'FOFIR ESTIMACIONES'!N33</f>
        <v>510348.66590656433</v>
      </c>
      <c r="O32" s="561">
        <f>'FOFIR ESTIMACIONES'!O33</f>
        <v>47841356.474999972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7030A0"/>
  </sheetPr>
  <dimension ref="A1:O34"/>
  <sheetViews>
    <sheetView workbookViewId="0">
      <selection activeCell="O33" activeCellId="1" sqref="O27 O33"/>
    </sheetView>
  </sheetViews>
  <sheetFormatPr baseColWidth="10" defaultRowHeight="12.75" x14ac:dyDescent="0.2"/>
  <cols>
    <col min="1" max="1" width="15.42578125" style="552" customWidth="1"/>
    <col min="2" max="2" width="9.28515625" style="552" customWidth="1"/>
    <col min="3" max="3" width="12.7109375" style="552" customWidth="1"/>
    <col min="4" max="5" width="11.7109375" style="552" bestFit="1" customWidth="1"/>
    <col min="6" max="6" width="12.7109375" style="552" bestFit="1" customWidth="1"/>
    <col min="7" max="8" width="11.7109375" style="552" bestFit="1" customWidth="1"/>
    <col min="9" max="9" width="11.85546875" style="552" bestFit="1" customWidth="1"/>
    <col min="10" max="11" width="11.7109375" style="552" bestFit="1" customWidth="1"/>
    <col min="12" max="12" width="11.85546875" style="552" bestFit="1" customWidth="1"/>
    <col min="13" max="14" width="11.7109375" style="552" bestFit="1" customWidth="1"/>
    <col min="15" max="15" width="13.140625"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313</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68">
        <v>3.6499999999999998E-2</v>
      </c>
      <c r="C7" s="584">
        <v>154257.12253206508</v>
      </c>
      <c r="D7" s="585">
        <v>120162.95703191035</v>
      </c>
      <c r="E7" s="584">
        <v>120162.95703191035</v>
      </c>
      <c r="F7" s="585">
        <v>181543.94365766429</v>
      </c>
      <c r="G7" s="584">
        <v>120162.95703191035</v>
      </c>
      <c r="H7" s="584">
        <v>120162.95703191035</v>
      </c>
      <c r="I7" s="586">
        <v>152643.60360410286</v>
      </c>
      <c r="J7" s="585">
        <v>120162.95703191037</v>
      </c>
      <c r="K7" s="584">
        <v>120162.95703191037</v>
      </c>
      <c r="L7" s="585">
        <v>159154.33645088488</v>
      </c>
      <c r="M7" s="584">
        <v>120162.9570319104</v>
      </c>
      <c r="N7" s="584">
        <v>120162.9570319104</v>
      </c>
      <c r="O7" s="587">
        <f t="shared" ref="O7:O27" si="0">SUM(C7:N7)</f>
        <v>1608902.6624999996</v>
      </c>
    </row>
    <row r="8" spans="1:15" x14ac:dyDescent="0.2">
      <c r="A8" s="557" t="s">
        <v>144</v>
      </c>
      <c r="B8" s="569">
        <v>1.49E-2</v>
      </c>
      <c r="C8" s="584">
        <v>62970.715773363561</v>
      </c>
      <c r="D8" s="585">
        <v>49052.82355549217</v>
      </c>
      <c r="E8" s="584">
        <v>49052.82355549217</v>
      </c>
      <c r="F8" s="585">
        <v>74109.719465731454</v>
      </c>
      <c r="G8" s="584">
        <v>49052.82355549217</v>
      </c>
      <c r="H8" s="584">
        <v>49052.82355549217</v>
      </c>
      <c r="I8" s="584">
        <v>62312.046402770757</v>
      </c>
      <c r="J8" s="585">
        <v>49052.823555492178</v>
      </c>
      <c r="K8" s="584">
        <v>49052.823555492178</v>
      </c>
      <c r="L8" s="585">
        <v>64969.852414196837</v>
      </c>
      <c r="M8" s="584">
        <v>49052.823555492192</v>
      </c>
      <c r="N8" s="584">
        <v>49052.823555492192</v>
      </c>
      <c r="O8" s="587">
        <f t="shared" si="0"/>
        <v>656784.92249999999</v>
      </c>
    </row>
    <row r="9" spans="1:15" x14ac:dyDescent="0.2">
      <c r="A9" s="557" t="s">
        <v>145</v>
      </c>
      <c r="B9" s="569">
        <v>1.09E-2</v>
      </c>
      <c r="C9" s="584">
        <v>46065.825632863278</v>
      </c>
      <c r="D9" s="585">
        <v>35884.280319118436</v>
      </c>
      <c r="E9" s="584">
        <v>35884.280319118436</v>
      </c>
      <c r="F9" s="585">
        <v>54214.492763521666</v>
      </c>
      <c r="G9" s="584">
        <v>35884.280319118436</v>
      </c>
      <c r="H9" s="584">
        <v>35884.280319118436</v>
      </c>
      <c r="I9" s="584">
        <v>45583.980254375922</v>
      </c>
      <c r="J9" s="585">
        <v>35884.280319118443</v>
      </c>
      <c r="K9" s="584">
        <v>35884.280319118443</v>
      </c>
      <c r="L9" s="585">
        <v>47528.281296291651</v>
      </c>
      <c r="M9" s="584">
        <v>35884.28031911845</v>
      </c>
      <c r="N9" s="584">
        <v>35884.28031911845</v>
      </c>
      <c r="O9" s="587">
        <f t="shared" si="0"/>
        <v>480466.82250000013</v>
      </c>
    </row>
    <row r="10" spans="1:15" x14ac:dyDescent="0.2">
      <c r="A10" s="557" t="s">
        <v>275</v>
      </c>
      <c r="B10" s="569">
        <v>8.8200000000000001E-2</v>
      </c>
      <c r="C10" s="584">
        <v>372752.82759803126</v>
      </c>
      <c r="D10" s="585">
        <v>290366.37836204091</v>
      </c>
      <c r="E10" s="584">
        <v>290366.37836204091</v>
      </c>
      <c r="F10" s="585">
        <v>438689.74878372578</v>
      </c>
      <c r="G10" s="584">
        <v>290366.37836204091</v>
      </c>
      <c r="H10" s="584">
        <v>290366.37836204091</v>
      </c>
      <c r="I10" s="584">
        <v>368853.85857210611</v>
      </c>
      <c r="J10" s="585">
        <v>290366.37836204097</v>
      </c>
      <c r="K10" s="584">
        <v>290366.37836204097</v>
      </c>
      <c r="L10" s="585">
        <v>384586.6431498095</v>
      </c>
      <c r="M10" s="584">
        <v>290366.37836204102</v>
      </c>
      <c r="N10" s="584">
        <v>290366.37836204102</v>
      </c>
      <c r="O10" s="587">
        <f t="shared" si="0"/>
        <v>3887814.105</v>
      </c>
    </row>
    <row r="11" spans="1:15" x14ac:dyDescent="0.2">
      <c r="A11" s="557" t="s">
        <v>147</v>
      </c>
      <c r="B11" s="569">
        <v>6.6299999999999998E-2</v>
      </c>
      <c r="C11" s="584">
        <v>280198.55407879222</v>
      </c>
      <c r="D11" s="585">
        <v>218268.60414289468</v>
      </c>
      <c r="E11" s="584">
        <v>218268.60414289468</v>
      </c>
      <c r="F11" s="585">
        <v>329763.38258912717</v>
      </c>
      <c r="G11" s="584">
        <v>218268.60414289468</v>
      </c>
      <c r="H11" s="584">
        <v>218268.60414289468</v>
      </c>
      <c r="I11" s="584">
        <v>277267.69640964438</v>
      </c>
      <c r="J11" s="585">
        <v>218268.60414289474</v>
      </c>
      <c r="K11" s="584">
        <v>218268.60414289474</v>
      </c>
      <c r="L11" s="585">
        <v>289094.04127927852</v>
      </c>
      <c r="M11" s="584">
        <v>218268.60414289479</v>
      </c>
      <c r="N11" s="584">
        <v>218268.60414289479</v>
      </c>
      <c r="O11" s="587">
        <f t="shared" si="0"/>
        <v>2922472.5075000003</v>
      </c>
    </row>
    <row r="12" spans="1:15" x14ac:dyDescent="0.2">
      <c r="A12" s="557" t="s">
        <v>276</v>
      </c>
      <c r="B12" s="569">
        <v>3.2199999999999999E-2</v>
      </c>
      <c r="C12" s="584">
        <v>136084.36563102729</v>
      </c>
      <c r="D12" s="585">
        <v>106006.77305280858</v>
      </c>
      <c r="E12" s="584">
        <v>106006.77305280858</v>
      </c>
      <c r="F12" s="585">
        <v>160156.57495278877</v>
      </c>
      <c r="G12" s="584">
        <v>106006.77305280858</v>
      </c>
      <c r="H12" s="584">
        <v>106006.77305280858</v>
      </c>
      <c r="I12" s="584">
        <v>134660.93249457842</v>
      </c>
      <c r="J12" s="585">
        <v>106006.7730528086</v>
      </c>
      <c r="K12" s="584">
        <v>106006.7730528086</v>
      </c>
      <c r="L12" s="585">
        <v>140404.6474991368</v>
      </c>
      <c r="M12" s="584">
        <v>106006.77305280862</v>
      </c>
      <c r="N12" s="584">
        <v>106006.77305280862</v>
      </c>
      <c r="O12" s="587">
        <f t="shared" si="0"/>
        <v>1419360.7050000001</v>
      </c>
    </row>
    <row r="13" spans="1:15" x14ac:dyDescent="0.2">
      <c r="A13" s="557" t="s">
        <v>149</v>
      </c>
      <c r="B13" s="569">
        <v>1.11E-2</v>
      </c>
      <c r="C13" s="584">
        <v>46911.070139888296</v>
      </c>
      <c r="D13" s="585">
        <v>36542.707480937126</v>
      </c>
      <c r="E13" s="584">
        <v>36542.707480937126</v>
      </c>
      <c r="F13" s="585">
        <v>55209.254098632155</v>
      </c>
      <c r="G13" s="584">
        <v>36542.707480937126</v>
      </c>
      <c r="H13" s="584">
        <v>36542.707480937126</v>
      </c>
      <c r="I13" s="584">
        <v>46420.383561795665</v>
      </c>
      <c r="J13" s="585">
        <v>36542.707480937126</v>
      </c>
      <c r="K13" s="584">
        <v>36542.707480937126</v>
      </c>
      <c r="L13" s="585">
        <v>48400.359852186913</v>
      </c>
      <c r="M13" s="584">
        <v>36542.707480937141</v>
      </c>
      <c r="N13" s="584">
        <v>36542.707480937141</v>
      </c>
      <c r="O13" s="587">
        <f t="shared" si="0"/>
        <v>489282.7275000001</v>
      </c>
    </row>
    <row r="14" spans="1:15" x14ac:dyDescent="0.2">
      <c r="A14" s="557" t="s">
        <v>150</v>
      </c>
      <c r="B14" s="569">
        <v>2.7099999999999999E-2</v>
      </c>
      <c r="C14" s="584">
        <v>114530.63070188943</v>
      </c>
      <c r="D14" s="585">
        <v>89216.880426432064</v>
      </c>
      <c r="E14" s="584">
        <v>89216.880426432064</v>
      </c>
      <c r="F14" s="585">
        <v>134790.16090747129</v>
      </c>
      <c r="G14" s="584">
        <v>89216.880426432064</v>
      </c>
      <c r="H14" s="584">
        <v>89216.880426432064</v>
      </c>
      <c r="I14" s="584">
        <v>113332.64815537501</v>
      </c>
      <c r="J14" s="585">
        <v>89216.880426432079</v>
      </c>
      <c r="K14" s="584">
        <v>89216.880426432079</v>
      </c>
      <c r="L14" s="585">
        <v>118166.64432380768</v>
      </c>
      <c r="M14" s="584">
        <v>89216.880426432108</v>
      </c>
      <c r="N14" s="584">
        <v>89216.880426432108</v>
      </c>
      <c r="O14" s="587">
        <f t="shared" si="0"/>
        <v>1194555.1274999999</v>
      </c>
    </row>
    <row r="15" spans="1:15" x14ac:dyDescent="0.2">
      <c r="A15" s="557" t="s">
        <v>151</v>
      </c>
      <c r="B15" s="569">
        <v>1.6899999999999998E-2</v>
      </c>
      <c r="C15" s="584">
        <v>71423.160843613703</v>
      </c>
      <c r="D15" s="585">
        <v>55637.095173679038</v>
      </c>
      <c r="E15" s="584">
        <v>55637.095173679038</v>
      </c>
      <c r="F15" s="585">
        <v>84057.332816836337</v>
      </c>
      <c r="G15" s="584">
        <v>55637.095173679038</v>
      </c>
      <c r="H15" s="584">
        <v>55637.095173679038</v>
      </c>
      <c r="I15" s="584">
        <v>70676.079476968167</v>
      </c>
      <c r="J15" s="585">
        <v>55637.095173679045</v>
      </c>
      <c r="K15" s="584">
        <v>55637.095173679045</v>
      </c>
      <c r="L15" s="585">
        <v>73690.637973149423</v>
      </c>
      <c r="M15" s="584">
        <v>55637.095173679059</v>
      </c>
      <c r="N15" s="584">
        <v>55637.095173679059</v>
      </c>
      <c r="O15" s="587">
        <f t="shared" si="0"/>
        <v>744943.97250000003</v>
      </c>
    </row>
    <row r="16" spans="1:15" x14ac:dyDescent="0.2">
      <c r="A16" s="557" t="s">
        <v>152</v>
      </c>
      <c r="B16" s="569">
        <v>1.2699999999999999E-2</v>
      </c>
      <c r="C16" s="584">
        <v>53673.026196088402</v>
      </c>
      <c r="D16" s="585">
        <v>41810.124775486613</v>
      </c>
      <c r="E16" s="584">
        <v>41810.124775486613</v>
      </c>
      <c r="F16" s="585">
        <v>63167.344779516068</v>
      </c>
      <c r="G16" s="584">
        <v>41810.124775486613</v>
      </c>
      <c r="H16" s="584">
        <v>41810.124775486613</v>
      </c>
      <c r="I16" s="584">
        <v>53111.610021153596</v>
      </c>
      <c r="J16" s="585">
        <v>41810.12477548662</v>
      </c>
      <c r="K16" s="584">
        <v>41810.12477548662</v>
      </c>
      <c r="L16" s="585">
        <v>55376.988299348981</v>
      </c>
      <c r="M16" s="584">
        <v>41810.124775486634</v>
      </c>
      <c r="N16" s="584">
        <v>41810.124775486634</v>
      </c>
      <c r="O16" s="587">
        <f t="shared" si="0"/>
        <v>559809.96750000003</v>
      </c>
    </row>
    <row r="17" spans="1:15" x14ac:dyDescent="0.2">
      <c r="A17" s="557" t="s">
        <v>153</v>
      </c>
      <c r="B17" s="569">
        <v>3.39E-2</v>
      </c>
      <c r="C17" s="584">
        <v>143268.9439407399</v>
      </c>
      <c r="D17" s="585">
        <v>111603.40392826742</v>
      </c>
      <c r="E17" s="584">
        <v>111603.40392826742</v>
      </c>
      <c r="F17" s="585">
        <v>168612.04630122794</v>
      </c>
      <c r="G17" s="584">
        <v>111603.40392826742</v>
      </c>
      <c r="H17" s="584">
        <v>111603.40392826742</v>
      </c>
      <c r="I17" s="584">
        <v>141770.36060764623</v>
      </c>
      <c r="J17" s="585">
        <v>111603.40392826743</v>
      </c>
      <c r="K17" s="584">
        <v>111603.40392826743</v>
      </c>
      <c r="L17" s="585">
        <v>147817.3152242465</v>
      </c>
      <c r="M17" s="584">
        <v>111603.40392826746</v>
      </c>
      <c r="N17" s="584">
        <v>111603.40392826746</v>
      </c>
      <c r="O17" s="587">
        <f t="shared" si="0"/>
        <v>1494295.8975000002</v>
      </c>
    </row>
    <row r="18" spans="1:15" x14ac:dyDescent="0.2">
      <c r="A18" s="557" t="s">
        <v>154</v>
      </c>
      <c r="B18" s="569">
        <v>2.2100000000000002E-2</v>
      </c>
      <c r="C18" s="584">
        <v>93399.518026264079</v>
      </c>
      <c r="D18" s="585">
        <v>72756.201380964907</v>
      </c>
      <c r="E18" s="584">
        <v>72756.201380964907</v>
      </c>
      <c r="F18" s="585">
        <v>109921.12752970908</v>
      </c>
      <c r="G18" s="584">
        <v>72756.201380964907</v>
      </c>
      <c r="H18" s="584">
        <v>72756.201380964907</v>
      </c>
      <c r="I18" s="584">
        <v>92422.565469881461</v>
      </c>
      <c r="J18" s="585">
        <v>72756.201380964922</v>
      </c>
      <c r="K18" s="584">
        <v>72756.201380964922</v>
      </c>
      <c r="L18" s="585">
        <v>96364.680426426188</v>
      </c>
      <c r="M18" s="584">
        <v>72756.201380964936</v>
      </c>
      <c r="N18" s="584">
        <v>72756.201380964936</v>
      </c>
      <c r="O18" s="587">
        <f t="shared" si="0"/>
        <v>974157.50250000018</v>
      </c>
    </row>
    <row r="19" spans="1:15" x14ac:dyDescent="0.2">
      <c r="A19" s="557" t="s">
        <v>155</v>
      </c>
      <c r="B19" s="569">
        <v>3.95E-2</v>
      </c>
      <c r="C19" s="584">
        <v>166935.79013744032</v>
      </c>
      <c r="D19" s="585">
        <v>130039.36445919066</v>
      </c>
      <c r="E19" s="584">
        <v>130039.36445919066</v>
      </c>
      <c r="F19" s="585">
        <v>196465.36368432164</v>
      </c>
      <c r="G19" s="584">
        <v>130039.36445919066</v>
      </c>
      <c r="H19" s="584">
        <v>130039.36445919066</v>
      </c>
      <c r="I19" s="584">
        <v>165189.65321539898</v>
      </c>
      <c r="J19" s="585">
        <v>130039.36445919068</v>
      </c>
      <c r="K19" s="584">
        <v>130039.36445919068</v>
      </c>
      <c r="L19" s="585">
        <v>172235.51478931378</v>
      </c>
      <c r="M19" s="584">
        <v>130039.36445919071</v>
      </c>
      <c r="N19" s="584">
        <v>130039.36445919071</v>
      </c>
      <c r="O19" s="587">
        <f t="shared" si="0"/>
        <v>1741141.2375000003</v>
      </c>
    </row>
    <row r="20" spans="1:15" x14ac:dyDescent="0.2">
      <c r="A20" s="557" t="s">
        <v>277</v>
      </c>
      <c r="B20" s="569">
        <v>7.4999999999999997E-3</v>
      </c>
      <c r="C20" s="584">
        <v>31696.669013438033</v>
      </c>
      <c r="D20" s="585">
        <v>24691.018568200758</v>
      </c>
      <c r="E20" s="584">
        <v>24691.018568200758</v>
      </c>
      <c r="F20" s="585">
        <v>37303.550066643344</v>
      </c>
      <c r="G20" s="584">
        <v>24691.018568200758</v>
      </c>
      <c r="H20" s="584">
        <v>24691.018568200758</v>
      </c>
      <c r="I20" s="584">
        <v>31365.124028240312</v>
      </c>
      <c r="J20" s="585">
        <v>24691.018568200761</v>
      </c>
      <c r="K20" s="584">
        <v>24691.018568200761</v>
      </c>
      <c r="L20" s="585">
        <v>32702.945846072234</v>
      </c>
      <c r="M20" s="584">
        <v>24691.018568200769</v>
      </c>
      <c r="N20" s="584">
        <v>24691.018568200769</v>
      </c>
      <c r="O20" s="587">
        <f t="shared" si="0"/>
        <v>330596.4375</v>
      </c>
    </row>
    <row r="21" spans="1:15" x14ac:dyDescent="0.2">
      <c r="A21" s="557" t="s">
        <v>278</v>
      </c>
      <c r="B21" s="569">
        <v>2.2800000000000001E-2</v>
      </c>
      <c r="C21" s="584">
        <v>96357.873800851623</v>
      </c>
      <c r="D21" s="585">
        <v>75060.696447330309</v>
      </c>
      <c r="E21" s="584">
        <v>75060.696447330309</v>
      </c>
      <c r="F21" s="585">
        <v>113402.79220259578</v>
      </c>
      <c r="G21" s="584">
        <v>75060.696447330309</v>
      </c>
      <c r="H21" s="584">
        <v>75060.696447330309</v>
      </c>
      <c r="I21" s="584">
        <v>95349.977045850552</v>
      </c>
      <c r="J21" s="585">
        <v>75060.696447330323</v>
      </c>
      <c r="K21" s="584">
        <v>75060.696447330323</v>
      </c>
      <c r="L21" s="585">
        <v>99416.955372059601</v>
      </c>
      <c r="M21" s="584">
        <v>75060.696447330338</v>
      </c>
      <c r="N21" s="584">
        <v>75060.696447330338</v>
      </c>
      <c r="O21" s="587">
        <f t="shared" si="0"/>
        <v>1005013.1699999999</v>
      </c>
    </row>
    <row r="22" spans="1:15" x14ac:dyDescent="0.2">
      <c r="A22" s="557" t="s">
        <v>279</v>
      </c>
      <c r="B22" s="569">
        <v>8.8800000000000004E-2</v>
      </c>
      <c r="C22" s="584">
        <v>375288.56111910637</v>
      </c>
      <c r="D22" s="585">
        <v>292341.65984749701</v>
      </c>
      <c r="E22" s="584">
        <v>292341.65984749701</v>
      </c>
      <c r="F22" s="585">
        <v>441674.03278905724</v>
      </c>
      <c r="G22" s="584">
        <v>292341.65984749701</v>
      </c>
      <c r="H22" s="584">
        <v>292341.65984749701</v>
      </c>
      <c r="I22" s="584">
        <v>371363.06849436532</v>
      </c>
      <c r="J22" s="585">
        <v>292341.65984749701</v>
      </c>
      <c r="K22" s="584">
        <v>292341.65984749701</v>
      </c>
      <c r="L22" s="585">
        <v>387202.87881749531</v>
      </c>
      <c r="M22" s="584">
        <v>292341.65984749713</v>
      </c>
      <c r="N22" s="584">
        <v>292341.65984749713</v>
      </c>
      <c r="O22" s="587">
        <f t="shared" si="0"/>
        <v>3914261.8200000008</v>
      </c>
    </row>
    <row r="23" spans="1:15" x14ac:dyDescent="0.2">
      <c r="A23" s="557" t="s">
        <v>159</v>
      </c>
      <c r="B23" s="569">
        <v>3.9199999999999999E-2</v>
      </c>
      <c r="C23" s="584">
        <v>165667.92337690279</v>
      </c>
      <c r="D23" s="585">
        <v>129051.72371646263</v>
      </c>
      <c r="E23" s="584">
        <v>129051.72371646263</v>
      </c>
      <c r="F23" s="585">
        <v>194973.22168165588</v>
      </c>
      <c r="G23" s="584">
        <v>129051.72371646263</v>
      </c>
      <c r="H23" s="584">
        <v>129051.72371646263</v>
      </c>
      <c r="I23" s="584">
        <v>163935.04825426938</v>
      </c>
      <c r="J23" s="585">
        <v>129051.72371646264</v>
      </c>
      <c r="K23" s="584">
        <v>129051.72371646264</v>
      </c>
      <c r="L23" s="585">
        <v>170927.39695547087</v>
      </c>
      <c r="M23" s="584">
        <v>129051.72371646267</v>
      </c>
      <c r="N23" s="584">
        <v>129051.72371646267</v>
      </c>
      <c r="O23" s="587">
        <f t="shared" si="0"/>
        <v>1727917.3800000001</v>
      </c>
    </row>
    <row r="24" spans="1:15" x14ac:dyDescent="0.2">
      <c r="A24" s="557" t="s">
        <v>160</v>
      </c>
      <c r="B24" s="569">
        <v>0.35420000000000001</v>
      </c>
      <c r="C24" s="584">
        <v>1496928.0219413002</v>
      </c>
      <c r="D24" s="585">
        <v>1166074.5035808946</v>
      </c>
      <c r="E24" s="584">
        <v>1166074.5035808946</v>
      </c>
      <c r="F24" s="585">
        <v>1761722.3244806766</v>
      </c>
      <c r="G24" s="584">
        <v>1166074.5035808946</v>
      </c>
      <c r="H24" s="584">
        <v>1166074.5035808946</v>
      </c>
      <c r="I24" s="584">
        <v>1481270.2574403626</v>
      </c>
      <c r="J24" s="585">
        <v>1166074.5035808946</v>
      </c>
      <c r="K24" s="584">
        <v>1166074.5035808946</v>
      </c>
      <c r="L24" s="585">
        <v>1544451.1224905048</v>
      </c>
      <c r="M24" s="584">
        <v>1166074.503580895</v>
      </c>
      <c r="N24" s="584">
        <v>1166074.503580895</v>
      </c>
      <c r="O24" s="587">
        <f t="shared" si="0"/>
        <v>15612967.754999999</v>
      </c>
    </row>
    <row r="25" spans="1:15" x14ac:dyDescent="0.2">
      <c r="A25" s="557" t="s">
        <v>161</v>
      </c>
      <c r="B25" s="569">
        <v>0.03</v>
      </c>
      <c r="C25" s="584">
        <v>126786.67605375213</v>
      </c>
      <c r="D25" s="585">
        <v>98764.074272803031</v>
      </c>
      <c r="E25" s="584">
        <v>98764.074272803031</v>
      </c>
      <c r="F25" s="585">
        <v>149214.20026657337</v>
      </c>
      <c r="G25" s="584">
        <v>98764.074272803031</v>
      </c>
      <c r="H25" s="584">
        <v>98764.074272803031</v>
      </c>
      <c r="I25" s="584">
        <v>125460.49611296125</v>
      </c>
      <c r="J25" s="585">
        <v>98764.074272803045</v>
      </c>
      <c r="K25" s="584">
        <v>98764.074272803045</v>
      </c>
      <c r="L25" s="585">
        <v>130811.78338428894</v>
      </c>
      <c r="M25" s="584">
        <v>98764.074272803075</v>
      </c>
      <c r="N25" s="584">
        <v>98764.074272803075</v>
      </c>
      <c r="O25" s="587">
        <f t="shared" si="0"/>
        <v>1322385.75</v>
      </c>
    </row>
    <row r="26" spans="1:15" ht="13.5" thickBot="1" x14ac:dyDescent="0.25">
      <c r="A26" s="557" t="s">
        <v>162</v>
      </c>
      <c r="B26" s="570">
        <v>4.5199999999999997E-2</v>
      </c>
      <c r="C26" s="584">
        <v>191025.2585876532</v>
      </c>
      <c r="D26" s="585">
        <v>148804.53857102324</v>
      </c>
      <c r="E26" s="584">
        <v>148804.53857102324</v>
      </c>
      <c r="F26" s="585">
        <v>224816.06173497057</v>
      </c>
      <c r="G26" s="584">
        <v>148804.53857102324</v>
      </c>
      <c r="H26" s="584">
        <v>148804.53857102324</v>
      </c>
      <c r="I26" s="590">
        <v>189027.1474768616</v>
      </c>
      <c r="J26" s="585">
        <v>148804.53857102324</v>
      </c>
      <c r="K26" s="584">
        <v>148804.53857102324</v>
      </c>
      <c r="L26" s="585">
        <v>197089.75363232865</v>
      </c>
      <c r="M26" s="584">
        <v>148804.53857102329</v>
      </c>
      <c r="N26" s="584">
        <v>148804.53857102329</v>
      </c>
      <c r="O26" s="587">
        <f t="shared" si="0"/>
        <v>1992394.53</v>
      </c>
    </row>
    <row r="27" spans="1:15" ht="13.5" thickBot="1" x14ac:dyDescent="0.25">
      <c r="A27" s="562" t="s">
        <v>280</v>
      </c>
      <c r="B27" s="563">
        <f t="shared" ref="B27:N27" si="1">SUM(B7:B26)</f>
        <v>1</v>
      </c>
      <c r="C27" s="592">
        <f t="shared" si="1"/>
        <v>4226222.5351250712</v>
      </c>
      <c r="D27" s="592">
        <f t="shared" si="1"/>
        <v>3292135.8090934348</v>
      </c>
      <c r="E27" s="592">
        <f t="shared" si="1"/>
        <v>3292135.8090934348</v>
      </c>
      <c r="F27" s="592">
        <f t="shared" si="1"/>
        <v>4973806.6755524464</v>
      </c>
      <c r="G27" s="592">
        <f t="shared" si="1"/>
        <v>3292135.8090934348</v>
      </c>
      <c r="H27" s="592">
        <f t="shared" si="1"/>
        <v>3292135.8090934348</v>
      </c>
      <c r="I27" s="592">
        <f t="shared" si="1"/>
        <v>4182016.5370987086</v>
      </c>
      <c r="J27" s="592">
        <f t="shared" si="1"/>
        <v>3292135.8090934353</v>
      </c>
      <c r="K27" s="592">
        <f t="shared" si="1"/>
        <v>3292135.8090934353</v>
      </c>
      <c r="L27" s="592">
        <f t="shared" si="1"/>
        <v>4360392.779476299</v>
      </c>
      <c r="M27" s="592">
        <f t="shared" si="1"/>
        <v>3292135.8090934358</v>
      </c>
      <c r="N27" s="592">
        <f t="shared" si="1"/>
        <v>3292135.8090934358</v>
      </c>
      <c r="O27" s="592">
        <f t="shared" si="0"/>
        <v>44079525.000000007</v>
      </c>
    </row>
    <row r="28" spans="1:15" x14ac:dyDescent="0.2">
      <c r="A28" s="565"/>
      <c r="B28" s="565"/>
      <c r="C28" s="565"/>
      <c r="D28" s="565"/>
      <c r="E28" s="565"/>
      <c r="F28" s="565"/>
      <c r="G28" s="565"/>
      <c r="H28" s="565"/>
      <c r="I28" s="565"/>
      <c r="J28" s="565"/>
      <c r="K28" s="565"/>
      <c r="L28" s="565"/>
      <c r="M28" s="565"/>
      <c r="N28" s="565"/>
      <c r="O28" s="565"/>
    </row>
    <row r="29" spans="1:15" x14ac:dyDescent="0.2">
      <c r="A29" s="566" t="s">
        <v>281</v>
      </c>
    </row>
    <row r="31" spans="1:15" x14ac:dyDescent="0.2">
      <c r="A31" s="694" t="s">
        <v>314</v>
      </c>
      <c r="B31" s="694"/>
      <c r="C31" s="593">
        <f>'X22.55 POE'!B61</f>
        <v>11797726.050000003</v>
      </c>
      <c r="D31" s="593">
        <f>'X22.55 POE'!C61</f>
        <v>3802484.4750000001</v>
      </c>
      <c r="E31" s="593">
        <f>'X22.55 POE'!D61</f>
        <v>3802484.4750000001</v>
      </c>
      <c r="F31" s="593">
        <f>'X22.55 POE'!E61</f>
        <v>16635433.5</v>
      </c>
      <c r="G31" s="593">
        <f>'X22.55 POE'!F61</f>
        <v>3802484.4750000001</v>
      </c>
      <c r="H31" s="593">
        <f>'X22.55 POE'!G61</f>
        <v>3802484.4750000001</v>
      </c>
      <c r="I31" s="593">
        <f>'X22.55 POE'!H61</f>
        <v>20542386.375</v>
      </c>
      <c r="J31" s="593">
        <f>'X22.55 POE'!I61</f>
        <v>3802484.4750000001</v>
      </c>
      <c r="K31" s="593">
        <f>'X22.55 POE'!J61</f>
        <v>3802484.4750000001</v>
      </c>
      <c r="L31" s="593">
        <f>'X22.55 POE'!K61</f>
        <v>12525459.75</v>
      </c>
      <c r="M31" s="593">
        <f>'X22.55 POE'!L61</f>
        <v>3802484.4750000001</v>
      </c>
      <c r="N31" s="593">
        <f>'X22.55 POE'!M61</f>
        <v>3802484.4750000001</v>
      </c>
      <c r="O31" s="593">
        <f>SUM(C31:N31)</f>
        <v>91920881.474999979</v>
      </c>
    </row>
    <row r="32" spans="1:15" x14ac:dyDescent="0.2">
      <c r="A32" s="695" t="s">
        <v>323</v>
      </c>
      <c r="B32" s="696"/>
      <c r="C32" s="593">
        <f>'X22.55 POE'!B62</f>
        <v>4226222.5351250712</v>
      </c>
      <c r="D32" s="593">
        <f>'X22.55 POE'!C62</f>
        <v>3292135.8090934348</v>
      </c>
      <c r="E32" s="593">
        <f>'X22.55 POE'!D62</f>
        <v>3292135.8090934348</v>
      </c>
      <c r="F32" s="593">
        <f>'X22.55 POE'!E62</f>
        <v>4973806.6755524464</v>
      </c>
      <c r="G32" s="593">
        <f>'X22.55 POE'!F62</f>
        <v>3292135.8090934348</v>
      </c>
      <c r="H32" s="593">
        <f>'X22.55 POE'!G62</f>
        <v>3292135.8090934348</v>
      </c>
      <c r="I32" s="593">
        <f>'X22.55 POE'!H62</f>
        <v>4182016.5370987086</v>
      </c>
      <c r="J32" s="593">
        <f>'X22.55 POE'!I62</f>
        <v>3292135.8090934353</v>
      </c>
      <c r="K32" s="593">
        <f>'X22.55 POE'!J62</f>
        <v>3292135.8090934353</v>
      </c>
      <c r="L32" s="593">
        <f>'X22.55 POE'!K62</f>
        <v>4360392.779476299</v>
      </c>
      <c r="M32" s="593">
        <f>'X22.55 POE'!L62</f>
        <v>3292135.8090934358</v>
      </c>
      <c r="N32" s="593">
        <f>'X22.55 POE'!M62</f>
        <v>3292135.8090934358</v>
      </c>
      <c r="O32" s="593">
        <f>SUM(C32:N32)</f>
        <v>44079525.000000007</v>
      </c>
    </row>
    <row r="33" spans="1:15" x14ac:dyDescent="0.2">
      <c r="A33" s="1216" t="s">
        <v>309</v>
      </c>
      <c r="B33" s="1217"/>
      <c r="C33" s="593">
        <f>C31-C32</f>
        <v>7571503.5148749314</v>
      </c>
      <c r="D33" s="593">
        <f t="shared" ref="D33:N33" si="2">D31-D32</f>
        <v>510348.66590656526</v>
      </c>
      <c r="E33" s="593">
        <f t="shared" si="2"/>
        <v>510348.66590656526</v>
      </c>
      <c r="F33" s="593">
        <f t="shared" si="2"/>
        <v>11661626.824447554</v>
      </c>
      <c r="G33" s="593">
        <f t="shared" si="2"/>
        <v>510348.66590656526</v>
      </c>
      <c r="H33" s="593">
        <f t="shared" si="2"/>
        <v>510348.66590656526</v>
      </c>
      <c r="I33" s="593">
        <f t="shared" si="2"/>
        <v>16360369.837901291</v>
      </c>
      <c r="J33" s="593">
        <f t="shared" si="2"/>
        <v>510348.6659065648</v>
      </c>
      <c r="K33" s="593">
        <f t="shared" si="2"/>
        <v>510348.6659065648</v>
      </c>
      <c r="L33" s="593">
        <f t="shared" si="2"/>
        <v>8165066.970523701</v>
      </c>
      <c r="M33" s="593">
        <f t="shared" si="2"/>
        <v>510348.66590656433</v>
      </c>
      <c r="N33" s="593">
        <f t="shared" si="2"/>
        <v>510348.66590656433</v>
      </c>
      <c r="O33" s="593">
        <f t="shared" ref="O33" si="3">O31-O32</f>
        <v>47841356.474999972</v>
      </c>
    </row>
    <row r="34" spans="1:15" x14ac:dyDescent="0.2">
      <c r="A34" s="565"/>
      <c r="B34" s="565"/>
    </row>
  </sheetData>
  <mergeCells count="5">
    <mergeCell ref="A1:O1"/>
    <mergeCell ref="A2:O2"/>
    <mergeCell ref="A3:O3"/>
    <mergeCell ref="A4:O4"/>
    <mergeCell ref="A33:B33"/>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1:Q36"/>
  <sheetViews>
    <sheetView workbookViewId="0">
      <selection activeCell="Q23" sqref="Q23"/>
    </sheetView>
  </sheetViews>
  <sheetFormatPr baseColWidth="10" defaultRowHeight="12.75" x14ac:dyDescent="0.2"/>
  <cols>
    <col min="1" max="1" width="16.85546875" style="552" customWidth="1"/>
    <col min="2" max="2" width="9.28515625" style="552" bestFit="1" customWidth="1"/>
    <col min="3" max="14" width="11.7109375" style="552" bestFit="1" customWidth="1"/>
    <col min="15" max="15" width="13"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315</v>
      </c>
      <c r="B4" s="1215"/>
      <c r="C4" s="1215"/>
      <c r="D4" s="1215"/>
      <c r="E4" s="1215"/>
      <c r="F4" s="1215"/>
      <c r="G4" s="1215"/>
      <c r="H4" s="1215"/>
      <c r="I4" s="1215"/>
      <c r="J4" s="1215"/>
      <c r="K4" s="1215"/>
      <c r="L4" s="1215"/>
      <c r="M4" s="1215"/>
      <c r="N4" s="1215"/>
      <c r="O4" s="1215"/>
    </row>
    <row r="5" spans="1:15" ht="13.5" thickBot="1" x14ac:dyDescent="0.25"/>
    <row r="6" spans="1:15" ht="34.5" thickBot="1" x14ac:dyDescent="0.25">
      <c r="A6" s="553" t="s">
        <v>13</v>
      </c>
      <c r="B6" s="554" t="s">
        <v>479</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83">
        <f>'IEPS GyD '!D8</f>
        <v>3.0136241193535018</v>
      </c>
      <c r="C7" s="559">
        <f>$C$27*B7/100</f>
        <v>171123.83285976999</v>
      </c>
      <c r="D7" s="559">
        <f>$D$27*B7/100</f>
        <v>188146.75354945869</v>
      </c>
      <c r="E7" s="559">
        <f>$E$27*B7/100</f>
        <v>183180.2836724254</v>
      </c>
      <c r="F7" s="559">
        <f>$F$27*B7/100</f>
        <v>170685.8568392561</v>
      </c>
      <c r="G7" s="559">
        <f>$G$27*B7/100</f>
        <v>188071.42048053513</v>
      </c>
      <c r="H7" s="559">
        <f>$H$27*B7/100</f>
        <v>181511.26630814857</v>
      </c>
      <c r="I7" s="559">
        <f>$I$27*B7/100</f>
        <v>185295.52233280669</v>
      </c>
      <c r="J7" s="559">
        <f>$J$27*B7/100</f>
        <v>185185.41806879401</v>
      </c>
      <c r="K7" s="559">
        <f>$K$27*B7/100</f>
        <v>192707.57078487621</v>
      </c>
      <c r="L7" s="559">
        <f>$L$27*B7/100</f>
        <v>191015.37714430946</v>
      </c>
      <c r="M7" s="559">
        <f>$M$27*B7/100</f>
        <v>178520.95031114016</v>
      </c>
      <c r="N7" s="559">
        <f>$N$27*B7/100</f>
        <v>184350.90938665561</v>
      </c>
      <c r="O7" s="560">
        <f>SUM(C7:N7)</f>
        <v>2199795.1617381759</v>
      </c>
    </row>
    <row r="8" spans="1:15" x14ac:dyDescent="0.2">
      <c r="A8" s="557" t="s">
        <v>144</v>
      </c>
      <c r="B8" s="588">
        <f>'IEPS GyD '!D9</f>
        <v>1.2459367229589724</v>
      </c>
      <c r="C8" s="559">
        <f t="shared" ref="C8:C26" si="0">$C$27*B8/100</f>
        <v>70748.527052278674</v>
      </c>
      <c r="D8" s="559">
        <f t="shared" ref="D8:D26" si="1">$D$27*B8/100</f>
        <v>77786.392817651969</v>
      </c>
      <c r="E8" s="559">
        <f t="shared" ref="E8:E26" si="2">$E$27*B8/100</f>
        <v>75733.081934079411</v>
      </c>
      <c r="F8" s="559">
        <f t="shared" ref="F8:F26" si="3">$F$27*B8/100</f>
        <v>70567.45257645761</v>
      </c>
      <c r="G8" s="559">
        <f t="shared" ref="G8:G26" si="4">$G$27*B8/100</f>
        <v>77755.247514419796</v>
      </c>
      <c r="H8" s="559">
        <f t="shared" ref="H8:H26" si="5">$H$27*B8/100</f>
        <v>75043.052274423375</v>
      </c>
      <c r="I8" s="559">
        <f t="shared" ref="I8:I26" si="6">$I$27*B8/100</f>
        <v>76607.594952430532</v>
      </c>
      <c r="J8" s="559">
        <f t="shared" ref="J8:J26" si="7">$J$27*B8/100</f>
        <v>76562.074031288852</v>
      </c>
      <c r="K8" s="559">
        <f t="shared" ref="K8:K26" si="8">$K$27*B8/100</f>
        <v>79671.992831209704</v>
      </c>
      <c r="L8" s="559">
        <f t="shared" ref="L8:L26" si="9">$L$27*B8/100</f>
        <v>78972.381295185754</v>
      </c>
      <c r="M8" s="559">
        <f t="shared" ref="M8:M26" si="10">$M$27*B8/100</f>
        <v>73806.751937563953</v>
      </c>
      <c r="N8" s="559">
        <f t="shared" ref="N8:N26" si="11">$N$27*B8/100</f>
        <v>76217.059201460856</v>
      </c>
      <c r="O8" s="560">
        <f t="shared" ref="O8:O26" si="12">SUM(C8:N8)</f>
        <v>909471.60841845046</v>
      </c>
    </row>
    <row r="9" spans="1:15" x14ac:dyDescent="0.2">
      <c r="A9" s="557" t="s">
        <v>145</v>
      </c>
      <c r="B9" s="588">
        <f>'IEPS GyD '!D10</f>
        <v>0.93374430169912959</v>
      </c>
      <c r="C9" s="559">
        <f t="shared" si="0"/>
        <v>53021.178982335252</v>
      </c>
      <c r="D9" s="559">
        <f t="shared" si="1"/>
        <v>58295.577700541333</v>
      </c>
      <c r="E9" s="559">
        <f t="shared" si="2"/>
        <v>56756.761722311436</v>
      </c>
      <c r="F9" s="559">
        <f t="shared" si="3"/>
        <v>52885.476055480714</v>
      </c>
      <c r="G9" s="559">
        <f t="shared" si="4"/>
        <v>58272.23642735961</v>
      </c>
      <c r="H9" s="559">
        <f t="shared" si="5"/>
        <v>56239.631718167213</v>
      </c>
      <c r="I9" s="559">
        <f t="shared" si="6"/>
        <v>57412.149377719637</v>
      </c>
      <c r="J9" s="559">
        <f t="shared" si="7"/>
        <v>57378.034562784909</v>
      </c>
      <c r="K9" s="559">
        <f t="shared" si="8"/>
        <v>59708.705859860638</v>
      </c>
      <c r="L9" s="559">
        <f t="shared" si="9"/>
        <v>59184.394895164209</v>
      </c>
      <c r="M9" s="559">
        <f t="shared" si="10"/>
        <v>55313.109228333495</v>
      </c>
      <c r="N9" s="559">
        <f t="shared" si="11"/>
        <v>57119.469560712801</v>
      </c>
      <c r="O9" s="560">
        <f t="shared" si="12"/>
        <v>681586.72609077115</v>
      </c>
    </row>
    <row r="10" spans="1:15" x14ac:dyDescent="0.2">
      <c r="A10" s="557" t="s">
        <v>275</v>
      </c>
      <c r="B10" s="588">
        <f>'IEPS GyD '!D11</f>
        <v>15.187266887691669</v>
      </c>
      <c r="C10" s="559">
        <f t="shared" si="0"/>
        <v>862384.6961523518</v>
      </c>
      <c r="D10" s="559">
        <f t="shared" si="1"/>
        <v>948172.3158033957</v>
      </c>
      <c r="E10" s="559">
        <f t="shared" si="2"/>
        <v>923143.61264569522</v>
      </c>
      <c r="F10" s="559">
        <f t="shared" si="3"/>
        <v>860177.50028102961</v>
      </c>
      <c r="G10" s="559">
        <f t="shared" si="4"/>
        <v>947792.67209937063</v>
      </c>
      <c r="H10" s="559">
        <f t="shared" si="5"/>
        <v>914732.53974888625</v>
      </c>
      <c r="I10" s="559">
        <f t="shared" si="6"/>
        <v>933803.43377603078</v>
      </c>
      <c r="J10" s="559">
        <f t="shared" si="7"/>
        <v>933248.55938665557</v>
      </c>
      <c r="K10" s="559">
        <f t="shared" si="8"/>
        <v>971156.71791759459</v>
      </c>
      <c r="L10" s="559">
        <f t="shared" si="9"/>
        <v>962628.84734478605</v>
      </c>
      <c r="M10" s="559">
        <f t="shared" si="10"/>
        <v>899662.73498012067</v>
      </c>
      <c r="N10" s="559">
        <f t="shared" si="11"/>
        <v>929043.02293825115</v>
      </c>
      <c r="O10" s="560">
        <f t="shared" si="12"/>
        <v>11085946.65307417</v>
      </c>
    </row>
    <row r="11" spans="1:15" x14ac:dyDescent="0.2">
      <c r="A11" s="557" t="s">
        <v>147</v>
      </c>
      <c r="B11" s="588">
        <f>'IEPS GyD '!D12</f>
        <v>6.2678071902196431</v>
      </c>
      <c r="C11" s="559">
        <f t="shared" si="0"/>
        <v>355907.42160853965</v>
      </c>
      <c r="D11" s="559">
        <f t="shared" si="1"/>
        <v>391312.0973317544</v>
      </c>
      <c r="E11" s="559">
        <f t="shared" si="2"/>
        <v>380982.71504238114</v>
      </c>
      <c r="F11" s="559">
        <f t="shared" si="3"/>
        <v>354996.50865397067</v>
      </c>
      <c r="G11" s="559">
        <f t="shared" si="4"/>
        <v>391155.41782151692</v>
      </c>
      <c r="H11" s="559">
        <f t="shared" si="5"/>
        <v>377511.45299306489</v>
      </c>
      <c r="I11" s="559">
        <f t="shared" si="6"/>
        <v>385382.03876673878</v>
      </c>
      <c r="J11" s="559">
        <f t="shared" si="7"/>
        <v>385153.04129714041</v>
      </c>
      <c r="K11" s="559">
        <f t="shared" si="8"/>
        <v>400797.79359952919</v>
      </c>
      <c r="L11" s="559">
        <f t="shared" si="9"/>
        <v>397278.32897901669</v>
      </c>
      <c r="M11" s="559">
        <f t="shared" si="10"/>
        <v>371292.12259060622</v>
      </c>
      <c r="N11" s="559">
        <f t="shared" si="11"/>
        <v>383417.41027248243</v>
      </c>
      <c r="O11" s="560">
        <f t="shared" si="12"/>
        <v>4575186.3489567414</v>
      </c>
    </row>
    <row r="12" spans="1:15" x14ac:dyDescent="0.2">
      <c r="A12" s="557" t="s">
        <v>276</v>
      </c>
      <c r="B12" s="588">
        <f>'IEPS GyD '!D13</f>
        <v>3.8487813406547868</v>
      </c>
      <c r="C12" s="559">
        <f t="shared" si="0"/>
        <v>218546.90192528104</v>
      </c>
      <c r="D12" s="559">
        <f t="shared" si="1"/>
        <v>240287.33700249143</v>
      </c>
      <c r="E12" s="559">
        <f t="shared" si="2"/>
        <v>233944.52322259962</v>
      </c>
      <c r="F12" s="559">
        <f t="shared" si="3"/>
        <v>217987.550835481</v>
      </c>
      <c r="G12" s="559">
        <f t="shared" si="4"/>
        <v>240191.12709092841</v>
      </c>
      <c r="H12" s="559">
        <f t="shared" si="5"/>
        <v>231812.97574539282</v>
      </c>
      <c r="I12" s="559">
        <f t="shared" si="6"/>
        <v>236645.95205535449</v>
      </c>
      <c r="J12" s="559">
        <f t="shared" si="7"/>
        <v>236505.33490468297</v>
      </c>
      <c r="K12" s="559">
        <f t="shared" si="8"/>
        <v>246112.08075904768</v>
      </c>
      <c r="L12" s="559">
        <f t="shared" si="9"/>
        <v>243950.9342289406</v>
      </c>
      <c r="M12" s="559">
        <f t="shared" si="10"/>
        <v>227993.96184182196</v>
      </c>
      <c r="N12" s="559">
        <f t="shared" si="11"/>
        <v>235439.5611660796</v>
      </c>
      <c r="O12" s="560">
        <f t="shared" si="12"/>
        <v>2809418.2407781021</v>
      </c>
    </row>
    <row r="13" spans="1:15" x14ac:dyDescent="0.2">
      <c r="A13" s="557" t="s">
        <v>149</v>
      </c>
      <c r="B13" s="588">
        <f>'IEPS GyD '!D14</f>
        <v>0.98991789266473262</v>
      </c>
      <c r="C13" s="559">
        <f t="shared" si="0"/>
        <v>56210.906636092252</v>
      </c>
      <c r="D13" s="559">
        <f t="shared" si="1"/>
        <v>61802.610547643948</v>
      </c>
      <c r="E13" s="559">
        <f t="shared" si="2"/>
        <v>60171.220168504587</v>
      </c>
      <c r="F13" s="559">
        <f t="shared" si="3"/>
        <v>56067.039888915504</v>
      </c>
      <c r="G13" s="559">
        <f t="shared" si="4"/>
        <v>61777.865075122063</v>
      </c>
      <c r="H13" s="559">
        <f t="shared" si="5"/>
        <v>59622.979881517429</v>
      </c>
      <c r="I13" s="559">
        <f t="shared" si="6"/>
        <v>60866.035618022819</v>
      </c>
      <c r="J13" s="559">
        <f t="shared" si="7"/>
        <v>60829.868472855364</v>
      </c>
      <c r="K13" s="559">
        <f t="shared" si="8"/>
        <v>63300.751791443799</v>
      </c>
      <c r="L13" s="559">
        <f t="shared" si="9"/>
        <v>62744.898540903116</v>
      </c>
      <c r="M13" s="559">
        <f t="shared" si="10"/>
        <v>58640.718261314032</v>
      </c>
      <c r="N13" s="559">
        <f t="shared" si="11"/>
        <v>60555.748329361792</v>
      </c>
      <c r="O13" s="560">
        <f t="shared" si="12"/>
        <v>722590.64321169665</v>
      </c>
    </row>
    <row r="14" spans="1:15" x14ac:dyDescent="0.2">
      <c r="A14" s="557" t="s">
        <v>150</v>
      </c>
      <c r="B14" s="588">
        <f>'IEPS GyD '!D15</f>
        <v>2.3715130283878989</v>
      </c>
      <c r="C14" s="559">
        <f t="shared" si="0"/>
        <v>134662.58001070051</v>
      </c>
      <c r="D14" s="559">
        <f t="shared" si="1"/>
        <v>148058.43715743418</v>
      </c>
      <c r="E14" s="559">
        <f t="shared" si="2"/>
        <v>144150.17005045101</v>
      </c>
      <c r="F14" s="559">
        <f t="shared" si="3"/>
        <v>134317.92327925883</v>
      </c>
      <c r="G14" s="559">
        <f t="shared" si="4"/>
        <v>147999.15526050708</v>
      </c>
      <c r="H14" s="559">
        <f t="shared" si="5"/>
        <v>142836.76921901709</v>
      </c>
      <c r="I14" s="559">
        <f t="shared" si="6"/>
        <v>145814.71607297228</v>
      </c>
      <c r="J14" s="559">
        <f t="shared" si="7"/>
        <v>145728.07165872358</v>
      </c>
      <c r="K14" s="559">
        <f t="shared" si="8"/>
        <v>151647.48378883992</v>
      </c>
      <c r="L14" s="559">
        <f t="shared" si="9"/>
        <v>150315.84483646121</v>
      </c>
      <c r="M14" s="559">
        <f t="shared" si="10"/>
        <v>140483.59806526901</v>
      </c>
      <c r="N14" s="559">
        <f t="shared" si="11"/>
        <v>145071.37124300664</v>
      </c>
      <c r="O14" s="560">
        <f t="shared" si="12"/>
        <v>1731086.1206426413</v>
      </c>
    </row>
    <row r="15" spans="1:15" x14ac:dyDescent="0.2">
      <c r="A15" s="557" t="s">
        <v>151</v>
      </c>
      <c r="B15" s="588">
        <f>'IEPS GyD '!D16</f>
        <v>1.563876010153336</v>
      </c>
      <c r="C15" s="559">
        <f t="shared" si="0"/>
        <v>88802.201726568979</v>
      </c>
      <c r="D15" s="559">
        <f t="shared" si="1"/>
        <v>97635.99659779467</v>
      </c>
      <c r="E15" s="559">
        <f t="shared" si="2"/>
        <v>95058.719940774899</v>
      </c>
      <c r="F15" s="559">
        <f t="shared" si="3"/>
        <v>88574.920498261359</v>
      </c>
      <c r="G15" s="559">
        <f t="shared" si="4"/>
        <v>97596.903607230852</v>
      </c>
      <c r="H15" s="559">
        <f t="shared" si="5"/>
        <v>94192.607873327739</v>
      </c>
      <c r="I15" s="559">
        <f t="shared" si="6"/>
        <v>96156.392001293454</v>
      </c>
      <c r="J15" s="559">
        <f t="shared" si="7"/>
        <v>96099.255009324479</v>
      </c>
      <c r="K15" s="559">
        <f t="shared" si="8"/>
        <v>100002.7657696227</v>
      </c>
      <c r="L15" s="559">
        <f t="shared" si="9"/>
        <v>99124.626713719481</v>
      </c>
      <c r="M15" s="559">
        <f t="shared" si="10"/>
        <v>92640.827271205926</v>
      </c>
      <c r="N15" s="559">
        <f t="shared" si="11"/>
        <v>95666.198975600913</v>
      </c>
      <c r="O15" s="560">
        <f t="shared" si="12"/>
        <v>1141551.4159847253</v>
      </c>
    </row>
    <row r="16" spans="1:15" x14ac:dyDescent="0.2">
      <c r="A16" s="557" t="s">
        <v>152</v>
      </c>
      <c r="B16" s="588">
        <f>'IEPS GyD '!D17</f>
        <v>1.1104401937422297</v>
      </c>
      <c r="C16" s="559">
        <f t="shared" si="0"/>
        <v>63054.573028663108</v>
      </c>
      <c r="D16" s="559">
        <f t="shared" si="1"/>
        <v>69327.065748415975</v>
      </c>
      <c r="E16" s="559">
        <f t="shared" si="2"/>
        <v>67497.053924097665</v>
      </c>
      <c r="F16" s="559">
        <f t="shared" si="3"/>
        <v>62893.190534426161</v>
      </c>
      <c r="G16" s="559">
        <f t="shared" si="4"/>
        <v>69299.307519672919</v>
      </c>
      <c r="H16" s="559">
        <f t="shared" si="5"/>
        <v>66882.065494238574</v>
      </c>
      <c r="I16" s="559">
        <f t="shared" si="6"/>
        <v>68276.463012563792</v>
      </c>
      <c r="J16" s="559">
        <f t="shared" si="7"/>
        <v>68235.89252486531</v>
      </c>
      <c r="K16" s="559">
        <f t="shared" si="8"/>
        <v>71007.605382405367</v>
      </c>
      <c r="L16" s="559">
        <f t="shared" si="9"/>
        <v>70384.077112236308</v>
      </c>
      <c r="M16" s="559">
        <f t="shared" si="10"/>
        <v>65780.213722564789</v>
      </c>
      <c r="N16" s="559">
        <f t="shared" si="11"/>
        <v>67928.398309935772</v>
      </c>
      <c r="O16" s="560">
        <f t="shared" si="12"/>
        <v>810565.9063140857</v>
      </c>
    </row>
    <row r="17" spans="1:17" x14ac:dyDescent="0.2">
      <c r="A17" s="557" t="s">
        <v>153</v>
      </c>
      <c r="B17" s="588">
        <f>'IEPS GyD '!D18</f>
        <v>2.7169725186489848</v>
      </c>
      <c r="C17" s="559">
        <f t="shared" si="0"/>
        <v>154278.94546637032</v>
      </c>
      <c r="D17" s="559">
        <f t="shared" si="1"/>
        <v>169626.18383097011</v>
      </c>
      <c r="E17" s="559">
        <f t="shared" si="2"/>
        <v>165148.5974976446</v>
      </c>
      <c r="F17" s="559">
        <f t="shared" si="3"/>
        <v>153884.08241629001</v>
      </c>
      <c r="G17" s="559">
        <f t="shared" si="4"/>
        <v>169558.2663104352</v>
      </c>
      <c r="H17" s="559">
        <f t="shared" si="5"/>
        <v>163643.87290947634</v>
      </c>
      <c r="I17" s="559">
        <f t="shared" si="6"/>
        <v>167055.61877270418</v>
      </c>
      <c r="J17" s="559">
        <f t="shared" si="7"/>
        <v>166956.35282324906</v>
      </c>
      <c r="K17" s="559">
        <f t="shared" si="8"/>
        <v>173738.04868220721</v>
      </c>
      <c r="L17" s="559">
        <f t="shared" si="9"/>
        <v>172212.42921688431</v>
      </c>
      <c r="M17" s="559">
        <f t="shared" si="10"/>
        <v>160947.91413552972</v>
      </c>
      <c r="N17" s="559">
        <f t="shared" si="11"/>
        <v>166203.99052916496</v>
      </c>
      <c r="O17" s="560">
        <f t="shared" si="12"/>
        <v>1983254.3025909259</v>
      </c>
    </row>
    <row r="18" spans="1:17" x14ac:dyDescent="0.2">
      <c r="A18" s="557" t="s">
        <v>154</v>
      </c>
      <c r="B18" s="588">
        <f>'IEPS GyD '!D19</f>
        <v>1.9503729796933278</v>
      </c>
      <c r="C18" s="559">
        <f t="shared" si="0"/>
        <v>110748.81490623705</v>
      </c>
      <c r="D18" s="559">
        <f t="shared" si="1"/>
        <v>121765.79752706694</v>
      </c>
      <c r="E18" s="559">
        <f t="shared" si="2"/>
        <v>118551.57164188771</v>
      </c>
      <c r="F18" s="559">
        <f t="shared" si="3"/>
        <v>110465.36330035224</v>
      </c>
      <c r="G18" s="559">
        <f t="shared" si="4"/>
        <v>121717.04307850705</v>
      </c>
      <c r="H18" s="559">
        <f t="shared" si="5"/>
        <v>117471.40827678202</v>
      </c>
      <c r="I18" s="559">
        <f t="shared" si="6"/>
        <v>119920.52283335062</v>
      </c>
      <c r="J18" s="559">
        <f t="shared" si="7"/>
        <v>119849.26498135101</v>
      </c>
      <c r="K18" s="559">
        <f t="shared" si="8"/>
        <v>124717.49101934832</v>
      </c>
      <c r="L18" s="559">
        <f t="shared" si="9"/>
        <v>123622.32831084233</v>
      </c>
      <c r="M18" s="559">
        <f t="shared" si="10"/>
        <v>115536.11996930686</v>
      </c>
      <c r="N18" s="559">
        <f t="shared" si="11"/>
        <v>119309.18329879819</v>
      </c>
      <c r="O18" s="560">
        <f t="shared" si="12"/>
        <v>1423674.9091438306</v>
      </c>
    </row>
    <row r="19" spans="1:17" x14ac:dyDescent="0.2">
      <c r="A19" s="557" t="s">
        <v>155</v>
      </c>
      <c r="B19" s="588">
        <f>'IEPS GyD '!D20</f>
        <v>3.3605405615416495</v>
      </c>
      <c r="C19" s="559">
        <f t="shared" si="0"/>
        <v>190822.92900386581</v>
      </c>
      <c r="D19" s="559">
        <f t="shared" si="1"/>
        <v>209805.46072911541</v>
      </c>
      <c r="E19" s="559">
        <f t="shared" si="2"/>
        <v>204267.27056058656</v>
      </c>
      <c r="F19" s="559">
        <f t="shared" si="3"/>
        <v>190334.53492297578</v>
      </c>
      <c r="G19" s="559">
        <f t="shared" si="4"/>
        <v>209721.45561642828</v>
      </c>
      <c r="H19" s="559">
        <f t="shared" si="5"/>
        <v>202406.12254463127</v>
      </c>
      <c r="I19" s="559">
        <f t="shared" si="6"/>
        <v>206626.00709640817</v>
      </c>
      <c r="J19" s="559">
        <f t="shared" si="7"/>
        <v>206503.22806672193</v>
      </c>
      <c r="K19" s="559">
        <f t="shared" si="8"/>
        <v>214891.30113468226</v>
      </c>
      <c r="L19" s="559">
        <f t="shared" si="9"/>
        <v>213004.30888153851</v>
      </c>
      <c r="M19" s="559">
        <f t="shared" si="10"/>
        <v>199071.57324392773</v>
      </c>
      <c r="N19" s="559">
        <f t="shared" si="11"/>
        <v>205572.65405874432</v>
      </c>
      <c r="O19" s="560">
        <f t="shared" si="12"/>
        <v>2453026.8458596258</v>
      </c>
    </row>
    <row r="20" spans="1:17" x14ac:dyDescent="0.2">
      <c r="A20" s="557" t="s">
        <v>277</v>
      </c>
      <c r="B20" s="588">
        <f>'IEPS GyD '!D21</f>
        <v>0.62187564753418989</v>
      </c>
      <c r="C20" s="559">
        <f t="shared" si="0"/>
        <v>35312.215509819856</v>
      </c>
      <c r="D20" s="559">
        <f t="shared" si="1"/>
        <v>38824.976029235368</v>
      </c>
      <c r="E20" s="559">
        <f t="shared" si="2"/>
        <v>37800.121386314051</v>
      </c>
      <c r="F20" s="559">
        <f t="shared" si="3"/>
        <v>35221.837078212418</v>
      </c>
      <c r="G20" s="559">
        <f t="shared" si="4"/>
        <v>38809.430692736132</v>
      </c>
      <c r="H20" s="559">
        <f t="shared" si="5"/>
        <v>37455.71172769407</v>
      </c>
      <c r="I20" s="559">
        <f t="shared" si="6"/>
        <v>38236.610928313115</v>
      </c>
      <c r="J20" s="559">
        <f t="shared" si="7"/>
        <v>38213.890390592627</v>
      </c>
      <c r="K20" s="559">
        <f t="shared" si="8"/>
        <v>39766.122323275784</v>
      </c>
      <c r="L20" s="559">
        <f t="shared" si="9"/>
        <v>39416.930129988446</v>
      </c>
      <c r="M20" s="559">
        <f t="shared" si="10"/>
        <v>36838.645821886821</v>
      </c>
      <c r="N20" s="559">
        <f t="shared" si="11"/>
        <v>38041.685561282648</v>
      </c>
      <c r="O20" s="560">
        <f t="shared" si="12"/>
        <v>453938.17757935135</v>
      </c>
    </row>
    <row r="21" spans="1:17" x14ac:dyDescent="0.2">
      <c r="A21" s="557" t="s">
        <v>278</v>
      </c>
      <c r="B21" s="588">
        <f>'IEPS GyD '!D22</f>
        <v>2.0163405252797348</v>
      </c>
      <c r="C21" s="559">
        <f t="shared" si="0"/>
        <v>114494.67663219087</v>
      </c>
      <c r="D21" s="559">
        <f t="shared" si="1"/>
        <v>125884.28710975949</v>
      </c>
      <c r="E21" s="559">
        <f t="shared" si="2"/>
        <v>122561.34633014046</v>
      </c>
      <c r="F21" s="559">
        <f t="shared" si="3"/>
        <v>114201.6378309709</v>
      </c>
      <c r="G21" s="559">
        <f t="shared" si="4"/>
        <v>125833.88363747882</v>
      </c>
      <c r="H21" s="559">
        <f t="shared" si="5"/>
        <v>121444.64855506792</v>
      </c>
      <c r="I21" s="559">
        <f t="shared" si="6"/>
        <v>123976.59961411011</v>
      </c>
      <c r="J21" s="559">
        <f t="shared" si="7"/>
        <v>123902.93160484872</v>
      </c>
      <c r="K21" s="559">
        <f t="shared" si="8"/>
        <v>128935.81585254757</v>
      </c>
      <c r="L21" s="559">
        <f t="shared" si="9"/>
        <v>127803.61141066538</v>
      </c>
      <c r="M21" s="559">
        <f t="shared" si="10"/>
        <v>119443.90291149584</v>
      </c>
      <c r="N21" s="559">
        <f t="shared" si="11"/>
        <v>123344.58271731249</v>
      </c>
      <c r="O21" s="560">
        <f t="shared" si="12"/>
        <v>1471827.9242065887</v>
      </c>
    </row>
    <row r="22" spans="1:17" x14ac:dyDescent="0.2">
      <c r="A22" s="557" t="s">
        <v>279</v>
      </c>
      <c r="B22" s="588">
        <f>'IEPS GyD '!D23</f>
        <v>7.6069888365105687</v>
      </c>
      <c r="C22" s="559">
        <f t="shared" si="0"/>
        <v>431950.71272008069</v>
      </c>
      <c r="D22" s="559">
        <f t="shared" si="1"/>
        <v>474919.96254113875</v>
      </c>
      <c r="E22" s="559">
        <f t="shared" si="2"/>
        <v>462383.60119838349</v>
      </c>
      <c r="F22" s="559">
        <f t="shared" si="3"/>
        <v>430845.17381849297</v>
      </c>
      <c r="G22" s="559">
        <f t="shared" si="4"/>
        <v>474729.8068376981</v>
      </c>
      <c r="H22" s="559">
        <f t="shared" si="5"/>
        <v>458170.66821299191</v>
      </c>
      <c r="I22" s="559">
        <f t="shared" si="6"/>
        <v>467722.8858068196</v>
      </c>
      <c r="J22" s="559">
        <f t="shared" si="7"/>
        <v>467444.96066618321</v>
      </c>
      <c r="K22" s="559">
        <f t="shared" si="8"/>
        <v>486432.37564281939</v>
      </c>
      <c r="L22" s="559">
        <f t="shared" si="9"/>
        <v>482160.94110978057</v>
      </c>
      <c r="M22" s="559">
        <f t="shared" si="10"/>
        <v>450622.51372989005</v>
      </c>
      <c r="N22" s="559">
        <f t="shared" si="11"/>
        <v>465338.49417348742</v>
      </c>
      <c r="O22" s="560">
        <f t="shared" si="12"/>
        <v>5552722.0964577664</v>
      </c>
    </row>
    <row r="23" spans="1:17" x14ac:dyDescent="0.2">
      <c r="A23" s="557" t="s">
        <v>159</v>
      </c>
      <c r="B23" s="588">
        <f>'IEPS GyD '!D24</f>
        <v>3.0057727673021133</v>
      </c>
      <c r="C23" s="559">
        <f t="shared" si="0"/>
        <v>170678.00637214113</v>
      </c>
      <c r="D23" s="559">
        <f t="shared" si="1"/>
        <v>187656.57748869646</v>
      </c>
      <c r="E23" s="559">
        <f t="shared" si="2"/>
        <v>182703.04668498918</v>
      </c>
      <c r="F23" s="559">
        <f t="shared" si="3"/>
        <v>170241.17140432357</v>
      </c>
      <c r="G23" s="559">
        <f t="shared" si="4"/>
        <v>187581.44068394587</v>
      </c>
      <c r="H23" s="559">
        <f t="shared" si="5"/>
        <v>181038.37758791086</v>
      </c>
      <c r="I23" s="559">
        <f t="shared" si="6"/>
        <v>184812.77454417638</v>
      </c>
      <c r="J23" s="559">
        <f t="shared" si="7"/>
        <v>184702.9571332366</v>
      </c>
      <c r="K23" s="559">
        <f t="shared" si="8"/>
        <v>192205.51249184509</v>
      </c>
      <c r="L23" s="559">
        <f t="shared" si="9"/>
        <v>190517.72749929986</v>
      </c>
      <c r="M23" s="559">
        <f t="shared" si="10"/>
        <v>178055.85221863422</v>
      </c>
      <c r="N23" s="559">
        <f t="shared" si="11"/>
        <v>183870.62258469744</v>
      </c>
      <c r="O23" s="560">
        <f t="shared" si="12"/>
        <v>2194064.0666938969</v>
      </c>
    </row>
    <row r="24" spans="1:17" x14ac:dyDescent="0.2">
      <c r="A24" s="557" t="s">
        <v>160</v>
      </c>
      <c r="B24" s="588">
        <f>'IEPS GyD '!D25</f>
        <v>34.475044032324909</v>
      </c>
      <c r="C24" s="559">
        <f t="shared" si="0"/>
        <v>1957610.3187302502</v>
      </c>
      <c r="D24" s="559">
        <f t="shared" si="1"/>
        <v>2152347.9227223797</v>
      </c>
      <c r="E24" s="559">
        <f t="shared" si="2"/>
        <v>2095532.851925605</v>
      </c>
      <c r="F24" s="559">
        <f t="shared" si="3"/>
        <v>1952599.9916309444</v>
      </c>
      <c r="G24" s="559">
        <f t="shared" si="4"/>
        <v>2151486.1328091817</v>
      </c>
      <c r="H24" s="559">
        <f t="shared" si="5"/>
        <v>2076439.7451394466</v>
      </c>
      <c r="I24" s="559">
        <f t="shared" si="6"/>
        <v>2119730.6095315418</v>
      </c>
      <c r="J24" s="559">
        <f t="shared" si="7"/>
        <v>2118471.0465602987</v>
      </c>
      <c r="K24" s="559">
        <f t="shared" si="8"/>
        <v>2204522.4371233778</v>
      </c>
      <c r="L24" s="559">
        <f t="shared" si="9"/>
        <v>2185164.2000110894</v>
      </c>
      <c r="M24" s="559">
        <f t="shared" si="10"/>
        <v>2042231.3397164289</v>
      </c>
      <c r="N24" s="559">
        <f t="shared" si="11"/>
        <v>2108924.4931672197</v>
      </c>
      <c r="O24" s="560">
        <f t="shared" si="12"/>
        <v>25165061.089067765</v>
      </c>
      <c r="Q24" s="561"/>
    </row>
    <row r="25" spans="1:17" x14ac:dyDescent="0.2">
      <c r="A25" s="557" t="s">
        <v>161</v>
      </c>
      <c r="B25" s="588">
        <f>'IEPS GyD '!D26</f>
        <v>2.4334334852880231</v>
      </c>
      <c r="C25" s="559">
        <f t="shared" si="0"/>
        <v>138178.63426880437</v>
      </c>
      <c r="D25" s="559">
        <f t="shared" si="1"/>
        <v>151924.25866756891</v>
      </c>
      <c r="E25" s="559">
        <f t="shared" si="2"/>
        <v>147913.94629157169</v>
      </c>
      <c r="F25" s="559">
        <f t="shared" si="3"/>
        <v>137824.9785135205</v>
      </c>
      <c r="G25" s="559">
        <f t="shared" si="4"/>
        <v>151863.42891402042</v>
      </c>
      <c r="H25" s="559">
        <f t="shared" si="5"/>
        <v>146566.25242501553</v>
      </c>
      <c r="I25" s="559">
        <f t="shared" si="6"/>
        <v>149621.95378742748</v>
      </c>
      <c r="J25" s="559">
        <f t="shared" si="7"/>
        <v>149533.04707832573</v>
      </c>
      <c r="K25" s="559">
        <f t="shared" si="8"/>
        <v>155607.01568748703</v>
      </c>
      <c r="L25" s="559">
        <f t="shared" si="9"/>
        <v>154240.6075007123</v>
      </c>
      <c r="M25" s="559">
        <f t="shared" si="10"/>
        <v>144151.63972266109</v>
      </c>
      <c r="N25" s="559">
        <f t="shared" si="11"/>
        <v>148859.20014504765</v>
      </c>
      <c r="O25" s="560">
        <f t="shared" si="12"/>
        <v>1776284.963002163</v>
      </c>
      <c r="Q25" s="561"/>
    </row>
    <row r="26" spans="1:17" ht="13.5" thickBot="1" x14ac:dyDescent="0.25">
      <c r="A26" s="557" t="s">
        <v>162</v>
      </c>
      <c r="B26" s="589">
        <f>'IEPS GyD '!D27</f>
        <v>5.2797509583506006</v>
      </c>
      <c r="C26" s="559">
        <f t="shared" si="0"/>
        <v>299802.22640765837</v>
      </c>
      <c r="D26" s="559">
        <f t="shared" si="1"/>
        <v>329625.7140974871</v>
      </c>
      <c r="E26" s="559">
        <f t="shared" si="2"/>
        <v>320924.65415955731</v>
      </c>
      <c r="F26" s="559">
        <f t="shared" si="3"/>
        <v>299034.90964137932</v>
      </c>
      <c r="G26" s="559">
        <f t="shared" si="4"/>
        <v>329493.73352290574</v>
      </c>
      <c r="H26" s="559">
        <f t="shared" si="5"/>
        <v>318000.60136479972</v>
      </c>
      <c r="I26" s="559">
        <f t="shared" si="6"/>
        <v>324630.46911921591</v>
      </c>
      <c r="J26" s="559">
        <f t="shared" si="7"/>
        <v>324437.57077807706</v>
      </c>
      <c r="K26" s="559">
        <f t="shared" si="8"/>
        <v>337616.08655797935</v>
      </c>
      <c r="L26" s="559">
        <f t="shared" si="9"/>
        <v>334651.42983847664</v>
      </c>
      <c r="M26" s="559">
        <f t="shared" si="10"/>
        <v>312761.68532029871</v>
      </c>
      <c r="N26" s="559">
        <f t="shared" si="11"/>
        <v>322975.54438069829</v>
      </c>
      <c r="O26" s="560">
        <f t="shared" si="12"/>
        <v>3853954.6251885337</v>
      </c>
    </row>
    <row r="27" spans="1:17" ht="13.5" thickBot="1" x14ac:dyDescent="0.25">
      <c r="A27" s="562" t="s">
        <v>280</v>
      </c>
      <c r="B27" s="591">
        <f t="shared" ref="B27:O27" si="13">SUM(B7:B26)</f>
        <v>100</v>
      </c>
      <c r="C27" s="564">
        <f>'X22.55 POE'!B52</f>
        <v>5678340.2999999998</v>
      </c>
      <c r="D27" s="564">
        <f>'X22.55 POE'!C52</f>
        <v>6243205.7250000006</v>
      </c>
      <c r="E27" s="564">
        <f>'X22.55 POE'!D52</f>
        <v>6078405.1500000004</v>
      </c>
      <c r="F27" s="564">
        <f>'X22.55 POE'!E52</f>
        <v>5663807.0999999996</v>
      </c>
      <c r="G27" s="564">
        <f>'X22.55 POE'!F52</f>
        <v>6240705.9750000006</v>
      </c>
      <c r="H27" s="564">
        <f>'X22.55 POE'!G52</f>
        <v>6023022.75</v>
      </c>
      <c r="I27" s="564">
        <f>'X22.55 POE'!H52</f>
        <v>6148594.3500000006</v>
      </c>
      <c r="J27" s="564">
        <f>'X22.55 POE'!I52</f>
        <v>6144940.7999999998</v>
      </c>
      <c r="K27" s="564">
        <f>'X22.55 POE'!J52</f>
        <v>6394545.6749999998</v>
      </c>
      <c r="L27" s="564">
        <f>'X22.55 POE'!K52</f>
        <v>6338394.2250000006</v>
      </c>
      <c r="M27" s="564">
        <f>'X22.55 POE'!L52</f>
        <v>5923796.1749999998</v>
      </c>
      <c r="N27" s="564">
        <f>'X22.55 POE'!M52</f>
        <v>6117249.6000000006</v>
      </c>
      <c r="O27" s="564">
        <f t="shared" si="13"/>
        <v>72995007.825000003</v>
      </c>
    </row>
    <row r="28" spans="1:17" x14ac:dyDescent="0.2">
      <c r="A28" s="565"/>
      <c r="B28" s="565"/>
      <c r="C28" s="565"/>
      <c r="D28" s="565"/>
      <c r="E28" s="565"/>
      <c r="F28" s="565"/>
      <c r="G28" s="565"/>
      <c r="H28" s="565"/>
      <c r="I28" s="565"/>
      <c r="J28" s="565"/>
      <c r="K28" s="565"/>
      <c r="L28" s="565"/>
      <c r="M28" s="565"/>
      <c r="N28" s="565"/>
      <c r="O28" s="565"/>
    </row>
    <row r="29" spans="1:17" ht="13.5" thickBot="1" x14ac:dyDescent="0.25">
      <c r="A29" s="566" t="s">
        <v>281</v>
      </c>
    </row>
    <row r="30" spans="1:17" x14ac:dyDescent="0.2">
      <c r="A30" s="602" t="s">
        <v>322</v>
      </c>
      <c r="C30" s="561">
        <f>'X22.55 POE'!B52</f>
        <v>5678340.2999999998</v>
      </c>
      <c r="D30" s="561">
        <f>'X22.55 POE'!C52</f>
        <v>6243205.7250000006</v>
      </c>
      <c r="E30" s="561">
        <f>'X22.55 POE'!D52</f>
        <v>6078405.1500000004</v>
      </c>
      <c r="F30" s="561">
        <f>'X22.55 POE'!E52</f>
        <v>5663807.0999999996</v>
      </c>
      <c r="G30" s="561">
        <f>'X22.55 POE'!F52</f>
        <v>6240705.9750000006</v>
      </c>
      <c r="H30" s="561">
        <f>'X22.55 POE'!G52</f>
        <v>6023022.75</v>
      </c>
      <c r="I30" s="561">
        <f>'X22.55 POE'!H52</f>
        <v>6148594.3500000006</v>
      </c>
      <c r="J30" s="561">
        <f>'X22.55 POE'!I52</f>
        <v>6144940.7999999998</v>
      </c>
      <c r="K30" s="561">
        <f>'X22.55 POE'!J52</f>
        <v>6394545.6749999998</v>
      </c>
      <c r="L30" s="561">
        <f>'X22.55 POE'!K52</f>
        <v>6338394.2250000006</v>
      </c>
      <c r="M30" s="561">
        <f>'X22.55 POE'!L52</f>
        <v>5923796.1749999998</v>
      </c>
      <c r="N30" s="561">
        <f>'X22.55 POE'!M52</f>
        <v>6117249.6000000006</v>
      </c>
      <c r="O30" s="561">
        <f>SUM(C30:N30)</f>
        <v>72995007.824999988</v>
      </c>
    </row>
    <row r="31" spans="1:17" x14ac:dyDescent="0.2">
      <c r="A31" s="605" t="s">
        <v>323</v>
      </c>
      <c r="C31" s="561">
        <f>'X22.55 POE'!B50</f>
        <v>2973029.93</v>
      </c>
      <c r="D31" s="561">
        <f>'X22.55 POE'!C50</f>
        <v>2991400.51</v>
      </c>
      <c r="E31" s="561">
        <f>'X22.55 POE'!D50</f>
        <v>3398867.13</v>
      </c>
      <c r="F31" s="561">
        <f>'X22.55 POE'!E50</f>
        <v>3261038.01</v>
      </c>
      <c r="G31" s="561">
        <f>'X22.55 POE'!F50</f>
        <v>3480510.59</v>
      </c>
      <c r="H31" s="561">
        <f>'X22.55 POE'!G50</f>
        <v>3343876.25</v>
      </c>
      <c r="I31" s="561">
        <f>'X22.55 POE'!H50</f>
        <v>3466561.02</v>
      </c>
      <c r="J31" s="561">
        <f>'X22.55 POE'!I50</f>
        <v>3440989.09</v>
      </c>
      <c r="K31" s="561">
        <f>'X22.55 POE'!J50</f>
        <v>3282805.89</v>
      </c>
      <c r="L31" s="561">
        <f>'X22.55 POE'!K50</f>
        <v>3455841.05</v>
      </c>
      <c r="M31" s="561">
        <f>'X22.55 POE'!L50</f>
        <v>3328385.93</v>
      </c>
      <c r="N31" s="561">
        <f>'X22.55 POE'!M50</f>
        <v>2449944.6</v>
      </c>
      <c r="O31" s="561">
        <f>SUM(C31:N31)</f>
        <v>38873250.000000007</v>
      </c>
    </row>
    <row r="32" spans="1:17" ht="13.5" thickBot="1" x14ac:dyDescent="0.25">
      <c r="A32" s="609" t="s">
        <v>309</v>
      </c>
      <c r="C32" s="561">
        <f>C30-C31</f>
        <v>2705310.3699999996</v>
      </c>
      <c r="D32" s="561">
        <f t="shared" ref="D32:N32" si="14">D30-D31</f>
        <v>3251805.2150000008</v>
      </c>
      <c r="E32" s="561">
        <f t="shared" si="14"/>
        <v>2679538.0200000005</v>
      </c>
      <c r="F32" s="561">
        <f t="shared" si="14"/>
        <v>2402769.09</v>
      </c>
      <c r="G32" s="561">
        <f t="shared" si="14"/>
        <v>2760195.3850000007</v>
      </c>
      <c r="H32" s="561">
        <f t="shared" si="14"/>
        <v>2679146.5</v>
      </c>
      <c r="I32" s="561">
        <f t="shared" si="14"/>
        <v>2682033.3300000005</v>
      </c>
      <c r="J32" s="561">
        <f t="shared" si="14"/>
        <v>2703951.71</v>
      </c>
      <c r="K32" s="561">
        <f t="shared" si="14"/>
        <v>3111739.7849999997</v>
      </c>
      <c r="L32" s="561">
        <f t="shared" si="14"/>
        <v>2882553.1750000007</v>
      </c>
      <c r="M32" s="561">
        <f t="shared" si="14"/>
        <v>2595410.2449999996</v>
      </c>
      <c r="N32" s="561">
        <f t="shared" si="14"/>
        <v>3667305.0000000005</v>
      </c>
      <c r="O32" s="561">
        <f t="shared" ref="O32" si="15">O30-O31</f>
        <v>34121757.824999981</v>
      </c>
    </row>
    <row r="36" spans="3:3" x14ac:dyDescent="0.2">
      <c r="C36" s="561"/>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topLeftCell="B1" zoomScaleNormal="100" workbookViewId="0">
      <selection sqref="A1:T1"/>
    </sheetView>
  </sheetViews>
  <sheetFormatPr baseColWidth="10" defaultRowHeight="15" x14ac:dyDescent="0.25"/>
  <cols>
    <col min="1" max="1" width="22.5703125" customWidth="1"/>
    <col min="2" max="2" width="10.42578125" customWidth="1"/>
    <col min="3" max="3" width="14.5703125" bestFit="1" customWidth="1"/>
    <col min="4" max="4" width="12.42578125" customWidth="1"/>
    <col min="5" max="5" width="14" customWidth="1"/>
    <col min="6" max="6" width="13.85546875" customWidth="1"/>
    <col min="7" max="7" width="14.7109375" style="9" customWidth="1"/>
    <col min="8" max="8" width="14.85546875" style="9" customWidth="1"/>
    <col min="9" max="9" width="14.42578125" style="9" customWidth="1"/>
    <col min="10" max="10" width="12.140625" customWidth="1"/>
    <col min="11" max="11" width="15.42578125" customWidth="1"/>
    <col min="12" max="12" width="13.5703125" customWidth="1"/>
    <col min="13" max="13" width="15.140625" customWidth="1"/>
    <col min="14" max="14" width="14.85546875" customWidth="1"/>
    <col min="15" max="15" width="13.5703125" customWidth="1"/>
    <col min="16" max="16" width="11.5703125" customWidth="1"/>
    <col min="17" max="17" width="14" customWidth="1"/>
    <col min="18" max="18" width="12" customWidth="1"/>
    <col min="19" max="19" width="14.5703125" customWidth="1"/>
    <col min="20" max="20" width="16.42578125"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942" t="s">
        <v>421</v>
      </c>
      <c r="B1" s="942"/>
      <c r="C1" s="942"/>
      <c r="D1" s="942"/>
      <c r="E1" s="942"/>
      <c r="F1" s="942"/>
      <c r="G1" s="942"/>
      <c r="H1" s="942"/>
      <c r="I1" s="942"/>
      <c r="J1" s="942"/>
      <c r="K1" s="942"/>
      <c r="L1" s="942"/>
      <c r="M1" s="942"/>
      <c r="N1" s="942"/>
      <c r="O1" s="942"/>
      <c r="P1" s="942"/>
      <c r="Q1" s="942"/>
      <c r="R1" s="942"/>
      <c r="S1" s="942"/>
      <c r="T1" s="942"/>
    </row>
    <row r="2" spans="1:28" ht="15.75" thickBot="1" x14ac:dyDescent="0.3">
      <c r="A2" s="12"/>
      <c r="B2" s="12"/>
      <c r="C2" s="12"/>
      <c r="D2" s="12"/>
      <c r="E2" s="12"/>
      <c r="F2" s="12"/>
      <c r="G2" s="12"/>
      <c r="H2" s="12"/>
      <c r="I2" s="12"/>
      <c r="J2" s="9"/>
    </row>
    <row r="3" spans="1:28" ht="33.75" customHeight="1" x14ac:dyDescent="0.25">
      <c r="A3" s="977" t="s">
        <v>227</v>
      </c>
      <c r="B3" s="975" t="s">
        <v>235</v>
      </c>
      <c r="C3" s="991" t="s">
        <v>194</v>
      </c>
      <c r="D3" s="995" t="s">
        <v>66</v>
      </c>
      <c r="E3" s="996"/>
      <c r="F3" s="996"/>
      <c r="G3" s="997"/>
      <c r="H3" s="995" t="s">
        <v>67</v>
      </c>
      <c r="I3" s="996"/>
      <c r="J3" s="996"/>
      <c r="K3" s="996"/>
      <c r="L3" s="996"/>
      <c r="M3" s="997"/>
      <c r="N3" s="998" t="s">
        <v>68</v>
      </c>
      <c r="O3" s="999"/>
      <c r="P3" s="999"/>
      <c r="Q3" s="999"/>
      <c r="R3" s="999"/>
      <c r="S3" s="1000"/>
      <c r="T3" s="975" t="s">
        <v>251</v>
      </c>
      <c r="U3" s="993" t="s">
        <v>390</v>
      </c>
    </row>
    <row r="4" spans="1:28" ht="15" customHeight="1" x14ac:dyDescent="0.25">
      <c r="A4" s="978"/>
      <c r="B4" s="976"/>
      <c r="C4" s="992"/>
      <c r="D4" s="454" t="s">
        <v>69</v>
      </c>
      <c r="E4" s="983" t="s">
        <v>237</v>
      </c>
      <c r="F4" s="455" t="s">
        <v>135</v>
      </c>
      <c r="G4" s="987" t="s">
        <v>499</v>
      </c>
      <c r="H4" s="979" t="s">
        <v>250</v>
      </c>
      <c r="I4" s="980"/>
      <c r="J4" s="980"/>
      <c r="K4" s="983" t="s">
        <v>197</v>
      </c>
      <c r="L4" s="455" t="s">
        <v>22</v>
      </c>
      <c r="M4" s="987" t="s">
        <v>240</v>
      </c>
      <c r="N4" s="985" t="s">
        <v>238</v>
      </c>
      <c r="O4" s="989" t="s">
        <v>243</v>
      </c>
      <c r="P4" s="989" t="s">
        <v>245</v>
      </c>
      <c r="Q4" s="989" t="s">
        <v>246</v>
      </c>
      <c r="R4" s="989" t="s">
        <v>199</v>
      </c>
      <c r="S4" s="987" t="s">
        <v>249</v>
      </c>
      <c r="T4" s="976"/>
      <c r="U4" s="993"/>
    </row>
    <row r="5" spans="1:28" x14ac:dyDescent="0.25">
      <c r="A5" s="978"/>
      <c r="B5" s="976"/>
      <c r="C5" s="992"/>
      <c r="D5" s="456" t="s">
        <v>329</v>
      </c>
      <c r="E5" s="994"/>
      <c r="F5" s="457" t="s">
        <v>139</v>
      </c>
      <c r="G5" s="988"/>
      <c r="H5" s="981"/>
      <c r="I5" s="982"/>
      <c r="J5" s="982"/>
      <c r="K5" s="984"/>
      <c r="L5" s="457" t="s">
        <v>198</v>
      </c>
      <c r="M5" s="988"/>
      <c r="N5" s="986"/>
      <c r="O5" s="990"/>
      <c r="P5" s="990"/>
      <c r="Q5" s="990"/>
      <c r="R5" s="994"/>
      <c r="S5" s="988"/>
      <c r="T5" s="976"/>
      <c r="U5" s="993"/>
    </row>
    <row r="6" spans="1:28" x14ac:dyDescent="0.25">
      <c r="A6" s="978"/>
      <c r="B6" s="976"/>
      <c r="C6" s="992"/>
      <c r="D6" s="456" t="s">
        <v>38</v>
      </c>
      <c r="E6" s="457" t="s">
        <v>37</v>
      </c>
      <c r="F6" s="458">
        <v>0.6</v>
      </c>
      <c r="G6" s="988"/>
      <c r="H6" s="926">
        <v>2021</v>
      </c>
      <c r="I6" s="513">
        <v>2022</v>
      </c>
      <c r="J6" s="462" t="s">
        <v>196</v>
      </c>
      <c r="K6" s="984"/>
      <c r="L6" s="458">
        <v>0.3</v>
      </c>
      <c r="M6" s="988"/>
      <c r="N6" s="986"/>
      <c r="O6" s="990"/>
      <c r="P6" s="990"/>
      <c r="Q6" s="990"/>
      <c r="R6" s="994"/>
      <c r="S6" s="988"/>
      <c r="T6" s="976"/>
      <c r="U6" s="993"/>
    </row>
    <row r="7" spans="1:28" ht="15.75" thickBot="1" x14ac:dyDescent="0.3">
      <c r="A7" s="978"/>
      <c r="B7" s="313" t="s">
        <v>70</v>
      </c>
      <c r="C7" s="313" t="s">
        <v>94</v>
      </c>
      <c r="D7" s="459" t="s">
        <v>71</v>
      </c>
      <c r="E7" s="460" t="s">
        <v>72</v>
      </c>
      <c r="F7" s="460" t="s">
        <v>73</v>
      </c>
      <c r="G7" s="461" t="s">
        <v>97</v>
      </c>
      <c r="H7" s="459" t="s">
        <v>74</v>
      </c>
      <c r="I7" s="460" t="s">
        <v>75</v>
      </c>
      <c r="J7" s="460" t="s">
        <v>195</v>
      </c>
      <c r="K7" s="463" t="s">
        <v>77</v>
      </c>
      <c r="L7" s="460" t="s">
        <v>78</v>
      </c>
      <c r="M7" s="461" t="s">
        <v>239</v>
      </c>
      <c r="N7" s="459" t="s">
        <v>241</v>
      </c>
      <c r="O7" s="460" t="s">
        <v>242</v>
      </c>
      <c r="P7" s="460" t="s">
        <v>244</v>
      </c>
      <c r="Q7" s="460" t="s">
        <v>247</v>
      </c>
      <c r="R7" s="464" t="s">
        <v>79</v>
      </c>
      <c r="S7" s="465" t="s">
        <v>248</v>
      </c>
      <c r="T7" s="312" t="s">
        <v>252</v>
      </c>
      <c r="U7" s="993"/>
      <c r="W7" s="59"/>
    </row>
    <row r="8" spans="1:28" s="5" customFormat="1" ht="16.5" customHeight="1" x14ac:dyDescent="0.25">
      <c r="A8" s="60" t="s">
        <v>45</v>
      </c>
      <c r="B8" s="61">
        <v>3.62</v>
      </c>
      <c r="C8" s="62">
        <f>$C$28*B8/100</f>
        <v>35350314.18282</v>
      </c>
      <c r="D8" s="63">
        <f>'CENSO 2020'!C10</f>
        <v>37232</v>
      </c>
      <c r="E8" s="64">
        <f>D8/$D$28*100</f>
        <v>3.0136241193535018</v>
      </c>
      <c r="F8" s="65">
        <f>E8*0.6</f>
        <v>1.8081744716121011</v>
      </c>
      <c r="G8" s="66">
        <f>Datos!$I$12*FGP!F8/100</f>
        <v>17423954.405218024</v>
      </c>
      <c r="H8" s="67">
        <f>'Predial y Agua'!D7</f>
        <v>12154053.73</v>
      </c>
      <c r="I8" s="68">
        <f>'Predial y Agua'!G7</f>
        <v>14028777</v>
      </c>
      <c r="J8" s="64">
        <f>I8/H8</f>
        <v>1.1542467485866543</v>
      </c>
      <c r="K8" s="64">
        <f>J8/$J$28*100</f>
        <v>5.1394067633930076</v>
      </c>
      <c r="L8" s="64">
        <f>K8*0.3</f>
        <v>1.5418220290179023</v>
      </c>
      <c r="M8" s="69">
        <f>Datos!$I$12*FGP!L8/100</f>
        <v>14857325.527119715</v>
      </c>
      <c r="N8" s="70">
        <f>G8+M8</f>
        <v>32281279.932337739</v>
      </c>
      <c r="O8" s="64">
        <f>L8+F8</f>
        <v>3.3499965006300032</v>
      </c>
      <c r="P8" s="64">
        <f>MINVERSE(O8)</f>
        <v>0.29850777450422383</v>
      </c>
      <c r="Q8" s="64">
        <f>P8/P$28*100</f>
        <v>4.5841074638537229</v>
      </c>
      <c r="R8" s="64">
        <f>Q8*0.1</f>
        <v>0.45841074638537233</v>
      </c>
      <c r="S8" s="71">
        <f>Datos!$I$12*FGP!R8/100</f>
        <v>4417343.6077545583</v>
      </c>
      <c r="T8" s="72">
        <f>C8+G8+M8+S8</f>
        <v>72048937.722912297</v>
      </c>
      <c r="U8" s="73">
        <f>R8+L8+F8</f>
        <v>3.8084072470153756</v>
      </c>
      <c r="V8" s="74"/>
      <c r="W8" s="75">
        <v>0.97425313870244945</v>
      </c>
      <c r="X8" s="75">
        <f t="shared" ref="X8:X27" si="0">J8-W8</f>
        <v>0.17999360988420487</v>
      </c>
      <c r="Y8" s="76"/>
      <c r="Z8" s="76"/>
      <c r="AA8" s="74"/>
      <c r="AB8" s="74"/>
    </row>
    <row r="9" spans="1:28" s="5" customFormat="1" ht="16.5" customHeight="1" x14ac:dyDescent="0.25">
      <c r="A9" s="60" t="s">
        <v>46</v>
      </c>
      <c r="B9" s="77">
        <v>2.4700000000000002</v>
      </c>
      <c r="C9" s="62">
        <f t="shared" ref="C9:C27" si="1">$C$28*B9/100</f>
        <v>24120241.997670002</v>
      </c>
      <c r="D9" s="63">
        <f>'CENSO 2020'!C11</f>
        <v>15393</v>
      </c>
      <c r="E9" s="64">
        <f t="shared" ref="E9:E27" si="2">D9/$D$28*100</f>
        <v>1.2459367229589724</v>
      </c>
      <c r="F9" s="65">
        <f t="shared" ref="F9:F27" si="3">E9*0.6</f>
        <v>0.74756203377538344</v>
      </c>
      <c r="G9" s="66">
        <f>Datos!$I$12*FGP!F9/100</f>
        <v>7203667.0111603225</v>
      </c>
      <c r="H9" s="67">
        <f>'Predial y Agua'!D8</f>
        <v>6882965.5</v>
      </c>
      <c r="I9" s="68">
        <f>'Predial y Agua'!G8</f>
        <v>7263911</v>
      </c>
      <c r="J9" s="64">
        <f t="shared" ref="J9:J27" si="4">I9/H9</f>
        <v>1.0553461295135069</v>
      </c>
      <c r="K9" s="64">
        <f t="shared" ref="K9:K27" si="5">J9/$J$28*100</f>
        <v>4.6990412079425132</v>
      </c>
      <c r="L9" s="78">
        <f t="shared" ref="L9:L27" si="6">K9*0.3</f>
        <v>1.4097123623827539</v>
      </c>
      <c r="M9" s="69">
        <f>Datos!$I$12*FGP!L9/100</f>
        <v>13584288.636002058</v>
      </c>
      <c r="N9" s="79">
        <f t="shared" ref="N9:N28" si="7">G9+M9</f>
        <v>20787955.647162382</v>
      </c>
      <c r="O9" s="78">
        <f t="shared" ref="O9:O27" si="8">L9+F9</f>
        <v>2.1572743961581375</v>
      </c>
      <c r="P9" s="78">
        <f t="shared" ref="P9:P27" si="9">MINVERSE(O9)</f>
        <v>0.46354789255408918</v>
      </c>
      <c r="Q9" s="78">
        <f t="shared" ref="Q9:Q27" si="10">P9/P$28*100</f>
        <v>7.1185863002733818</v>
      </c>
      <c r="R9" s="78">
        <f t="shared" ref="R9:R27" si="11">Q9*0.1</f>
        <v>0.71185863002733818</v>
      </c>
      <c r="S9" s="71">
        <f>Datos!$I$12*FGP!R9/100</f>
        <v>6859621.40672128</v>
      </c>
      <c r="T9" s="72">
        <f t="shared" ref="T9:T27" si="12">C9+G9+M9+S9</f>
        <v>51767819.051553659</v>
      </c>
      <c r="U9" s="73">
        <f t="shared" ref="U9:U28" si="13">R9+L9+F9</f>
        <v>2.8691330261854757</v>
      </c>
      <c r="V9" s="74"/>
      <c r="W9" s="75">
        <v>1.0958106186784708</v>
      </c>
      <c r="X9" s="75">
        <f t="shared" si="0"/>
        <v>-4.0464489164963924E-2</v>
      </c>
      <c r="Y9" s="76"/>
      <c r="Z9" s="76"/>
      <c r="AA9" s="74"/>
      <c r="AB9" s="74"/>
    </row>
    <row r="10" spans="1:28" s="5" customFormat="1" ht="16.5" customHeight="1" x14ac:dyDescent="0.25">
      <c r="A10" s="60" t="s">
        <v>47</v>
      </c>
      <c r="B10" s="77">
        <v>2.33</v>
      </c>
      <c r="C10" s="62">
        <f t="shared" si="1"/>
        <v>22753102.77513</v>
      </c>
      <c r="D10" s="63">
        <f>'CENSO 2020'!C12</f>
        <v>11536</v>
      </c>
      <c r="E10" s="64">
        <f t="shared" si="2"/>
        <v>0.93374430169912959</v>
      </c>
      <c r="F10" s="65">
        <f t="shared" si="3"/>
        <v>0.56024658101947777</v>
      </c>
      <c r="G10" s="66">
        <f>Datos!$I$12*FGP!F10/100</f>
        <v>5398655.4044530271</v>
      </c>
      <c r="H10" s="67">
        <f>'Predial y Agua'!D9</f>
        <v>3352527.58</v>
      </c>
      <c r="I10" s="68">
        <f>'Predial y Agua'!G9</f>
        <v>4050881</v>
      </c>
      <c r="J10" s="64">
        <f t="shared" si="4"/>
        <v>1.2083065398674513</v>
      </c>
      <c r="K10" s="64">
        <f t="shared" si="5"/>
        <v>5.3801137502451208</v>
      </c>
      <c r="L10" s="78">
        <f t="shared" si="6"/>
        <v>1.6140341250735362</v>
      </c>
      <c r="M10" s="69">
        <f>Datos!$I$12*FGP!L10/100</f>
        <v>15553176.668108786</v>
      </c>
      <c r="N10" s="79">
        <f t="shared" si="7"/>
        <v>20951832.072561812</v>
      </c>
      <c r="O10" s="78">
        <f t="shared" si="8"/>
        <v>2.1742807060930138</v>
      </c>
      <c r="P10" s="78">
        <f t="shared" si="9"/>
        <v>0.45992221574596492</v>
      </c>
      <c r="Q10" s="78">
        <f t="shared" si="10"/>
        <v>7.0629077098405268</v>
      </c>
      <c r="R10" s="78">
        <f t="shared" si="11"/>
        <v>0.70629077098405268</v>
      </c>
      <c r="S10" s="71">
        <f>Datos!$I$12*FGP!R10/100</f>
        <v>6805968.3308549933</v>
      </c>
      <c r="T10" s="72">
        <f t="shared" si="12"/>
        <v>50510903.178546801</v>
      </c>
      <c r="U10" s="73">
        <f t="shared" si="13"/>
        <v>2.8805714770770665</v>
      </c>
      <c r="V10" s="74"/>
      <c r="W10" s="75">
        <v>1.0258439054458339</v>
      </c>
      <c r="X10" s="75">
        <f t="shared" si="0"/>
        <v>0.18246263442161736</v>
      </c>
      <c r="Y10" s="76"/>
      <c r="Z10" s="76"/>
      <c r="AA10" s="74"/>
      <c r="AB10" s="74"/>
    </row>
    <row r="11" spans="1:28" s="5" customFormat="1" ht="16.5" customHeight="1" x14ac:dyDescent="0.25">
      <c r="A11" s="60" t="s">
        <v>48</v>
      </c>
      <c r="B11" s="77">
        <v>2.81</v>
      </c>
      <c r="C11" s="62">
        <f t="shared" si="1"/>
        <v>27440437.252410002</v>
      </c>
      <c r="D11" s="63">
        <f>'CENSO 2020'!C13</f>
        <v>187632</v>
      </c>
      <c r="E11" s="64">
        <f t="shared" si="2"/>
        <v>15.187266887691669</v>
      </c>
      <c r="F11" s="65">
        <f t="shared" si="3"/>
        <v>9.1123601326150006</v>
      </c>
      <c r="G11" s="66">
        <f>Datos!$I$12*FGP!F11/100</f>
        <v>87808643.450791478</v>
      </c>
      <c r="H11" s="67">
        <f>'Predial y Agua'!D10</f>
        <v>336468251.90999997</v>
      </c>
      <c r="I11" s="68">
        <f>'Predial y Agua'!G10</f>
        <v>347694330</v>
      </c>
      <c r="J11" s="64">
        <f t="shared" si="4"/>
        <v>1.0333644497698489</v>
      </c>
      <c r="K11" s="64">
        <f t="shared" si="5"/>
        <v>4.6011654342540638</v>
      </c>
      <c r="L11" s="78">
        <f t="shared" si="6"/>
        <v>1.380349630276219</v>
      </c>
      <c r="M11" s="69">
        <f>Datos!$I$12*FGP!L11/100</f>
        <v>13301343.094258647</v>
      </c>
      <c r="N11" s="79">
        <f t="shared" si="7"/>
        <v>101109986.54505013</v>
      </c>
      <c r="O11" s="78">
        <f t="shared" si="8"/>
        <v>10.49270976289122</v>
      </c>
      <c r="P11" s="78">
        <f t="shared" si="9"/>
        <v>9.530426578047789E-2</v>
      </c>
      <c r="Q11" s="78">
        <f t="shared" si="10"/>
        <v>1.463563208117401</v>
      </c>
      <c r="R11" s="78">
        <f t="shared" si="11"/>
        <v>0.1463563208117401</v>
      </c>
      <c r="S11" s="71">
        <f>Datos!$I$12*FGP!R11/100</f>
        <v>1410320.6857387177</v>
      </c>
      <c r="T11" s="72">
        <f t="shared" si="12"/>
        <v>129960744.48319884</v>
      </c>
      <c r="U11" s="73">
        <f t="shared" si="13"/>
        <v>10.639066083702961</v>
      </c>
      <c r="V11" s="74"/>
      <c r="W11" s="75">
        <v>1.2368625473905901</v>
      </c>
      <c r="X11" s="75">
        <f t="shared" si="0"/>
        <v>-0.20349809762074123</v>
      </c>
      <c r="Y11" s="76"/>
      <c r="Z11" s="76"/>
      <c r="AA11" s="74"/>
      <c r="AB11" s="74"/>
    </row>
    <row r="12" spans="1:28" s="5" customFormat="1" ht="16.5" customHeight="1" x14ac:dyDescent="0.25">
      <c r="A12" s="60" t="s">
        <v>49</v>
      </c>
      <c r="B12" s="77">
        <v>4.6399999999999997</v>
      </c>
      <c r="C12" s="62">
        <f t="shared" si="1"/>
        <v>45310899.947039992</v>
      </c>
      <c r="D12" s="63">
        <f>'CENSO 2020'!C14</f>
        <v>77436</v>
      </c>
      <c r="E12" s="64">
        <f t="shared" si="2"/>
        <v>6.2678071902196431</v>
      </c>
      <c r="F12" s="65">
        <f t="shared" si="3"/>
        <v>3.7606843141317858</v>
      </c>
      <c r="G12" s="66">
        <f>Datos!$I$12*FGP!F12/100</f>
        <v>36238755.192373842</v>
      </c>
      <c r="H12" s="67">
        <f>'Predial y Agua'!D11</f>
        <v>59487059.099999994</v>
      </c>
      <c r="I12" s="68">
        <f>'Predial y Agua'!G11</f>
        <v>69257630</v>
      </c>
      <c r="J12" s="64">
        <f t="shared" si="4"/>
        <v>1.1642469983862425</v>
      </c>
      <c r="K12" s="64">
        <f t="shared" si="5"/>
        <v>5.1839339422813646</v>
      </c>
      <c r="L12" s="78">
        <f t="shared" si="6"/>
        <v>1.5551801826844094</v>
      </c>
      <c r="M12" s="69">
        <f>Datos!$I$12*FGP!L12/100</f>
        <v>14986047.541547673</v>
      </c>
      <c r="N12" s="79">
        <f t="shared" si="7"/>
        <v>51224802.733921513</v>
      </c>
      <c r="O12" s="78">
        <f t="shared" si="8"/>
        <v>5.3158644968161948</v>
      </c>
      <c r="P12" s="78">
        <f t="shared" si="9"/>
        <v>0.18811615694849354</v>
      </c>
      <c r="Q12" s="78">
        <f t="shared" si="10"/>
        <v>2.8888516574527792</v>
      </c>
      <c r="R12" s="78">
        <f t="shared" si="11"/>
        <v>0.28888516574527795</v>
      </c>
      <c r="S12" s="71">
        <f>Datos!$I$12*FGP!R12/100</f>
        <v>2783758.9985450208</v>
      </c>
      <c r="T12" s="72">
        <f t="shared" si="12"/>
        <v>99319461.679506525</v>
      </c>
      <c r="U12" s="73">
        <f t="shared" si="13"/>
        <v>5.6047496625614732</v>
      </c>
      <c r="V12" s="74"/>
      <c r="W12" s="75">
        <v>0.59920521048482089</v>
      </c>
      <c r="X12" s="75">
        <f t="shared" si="0"/>
        <v>0.56504178790142157</v>
      </c>
      <c r="Y12" s="76"/>
      <c r="Z12" s="76"/>
      <c r="AA12" s="74"/>
      <c r="AB12" s="74"/>
    </row>
    <row r="13" spans="1:28" s="5" customFormat="1" ht="16.5" customHeight="1" x14ac:dyDescent="0.25">
      <c r="A13" s="60" t="s">
        <v>50</v>
      </c>
      <c r="B13" s="77">
        <v>1.5</v>
      </c>
      <c r="C13" s="62">
        <f t="shared" si="1"/>
        <v>14647920.241500001</v>
      </c>
      <c r="D13" s="63">
        <f>'CENSO 2020'!C15</f>
        <v>47550</v>
      </c>
      <c r="E13" s="64">
        <f t="shared" si="2"/>
        <v>3.8487813406547868</v>
      </c>
      <c r="F13" s="65">
        <f t="shared" si="3"/>
        <v>2.3092688043928722</v>
      </c>
      <c r="G13" s="66">
        <f>Datos!$I$12*FGP!F13/100</f>
        <v>22252606.144395068</v>
      </c>
      <c r="H13" s="67">
        <f>'Predial y Agua'!D12</f>
        <v>171868.4</v>
      </c>
      <c r="I13" s="68">
        <f>'Predial y Agua'!G12</f>
        <v>111898</v>
      </c>
      <c r="J13" s="64">
        <f t="shared" si="4"/>
        <v>0.65106791009865694</v>
      </c>
      <c r="K13" s="64">
        <f t="shared" si="5"/>
        <v>2.8989493145087093</v>
      </c>
      <c r="L13" s="78">
        <f t="shared" si="6"/>
        <v>0.86968479435261281</v>
      </c>
      <c r="M13" s="69">
        <f>Datos!$I$12*FGP!L13/100</f>
        <v>8380467.9479857814</v>
      </c>
      <c r="N13" s="79">
        <f t="shared" si="7"/>
        <v>30633074.092380852</v>
      </c>
      <c r="O13" s="78">
        <f t="shared" si="8"/>
        <v>3.1789535987454851</v>
      </c>
      <c r="P13" s="78">
        <f t="shared" si="9"/>
        <v>0.31456891990956753</v>
      </c>
      <c r="Q13" s="78">
        <f t="shared" si="10"/>
        <v>4.8307543615868136</v>
      </c>
      <c r="R13" s="78">
        <f t="shared" si="11"/>
        <v>0.48307543615868137</v>
      </c>
      <c r="S13" s="71">
        <f>Datos!$I$12*FGP!R13/100</f>
        <v>4655017.812747526</v>
      </c>
      <c r="T13" s="72">
        <f t="shared" si="12"/>
        <v>49936012.14662838</v>
      </c>
      <c r="U13" s="73">
        <f t="shared" si="13"/>
        <v>3.6620290349041662</v>
      </c>
      <c r="V13" s="74"/>
      <c r="W13" s="75">
        <v>5.0856642738427809</v>
      </c>
      <c r="X13" s="75">
        <f t="shared" si="0"/>
        <v>-4.4345963637441237</v>
      </c>
      <c r="Y13" s="76"/>
      <c r="Z13" s="76"/>
      <c r="AA13" s="74"/>
      <c r="AB13" s="74"/>
    </row>
    <row r="14" spans="1:28" s="5" customFormat="1" ht="16.5" customHeight="1" x14ac:dyDescent="0.25">
      <c r="A14" s="60" t="s">
        <v>51</v>
      </c>
      <c r="B14" s="77">
        <v>1.53</v>
      </c>
      <c r="C14" s="62">
        <f t="shared" si="1"/>
        <v>14940878.646330001</v>
      </c>
      <c r="D14" s="63">
        <f>'CENSO 2020'!C16</f>
        <v>12230</v>
      </c>
      <c r="E14" s="64">
        <f t="shared" si="2"/>
        <v>0.98991789266473262</v>
      </c>
      <c r="F14" s="65">
        <f t="shared" si="3"/>
        <v>0.5939507355988396</v>
      </c>
      <c r="G14" s="66">
        <f>Datos!$I$12*FGP!F14/100</f>
        <v>5723435.8180010868</v>
      </c>
      <c r="H14" s="67">
        <f>'Predial y Agua'!D13</f>
        <v>148220.89000000001</v>
      </c>
      <c r="I14" s="68">
        <f>'Predial y Agua'!G13</f>
        <v>204897</v>
      </c>
      <c r="J14" s="64">
        <f t="shared" si="4"/>
        <v>1.3823759930196073</v>
      </c>
      <c r="K14" s="64">
        <f t="shared" si="5"/>
        <v>6.1551765571585859</v>
      </c>
      <c r="L14" s="78">
        <f t="shared" si="6"/>
        <v>1.8465529671475758</v>
      </c>
      <c r="M14" s="69">
        <f>Datos!$I$12*FGP!L14/100</f>
        <v>17793777.763997547</v>
      </c>
      <c r="N14" s="79">
        <f t="shared" si="7"/>
        <v>23517213.581998635</v>
      </c>
      <c r="O14" s="78">
        <f t="shared" si="8"/>
        <v>2.4405037027464154</v>
      </c>
      <c r="P14" s="78">
        <f t="shared" si="9"/>
        <v>0.40975147830124259</v>
      </c>
      <c r="Q14" s="78">
        <f t="shared" si="10"/>
        <v>6.2924485404960349</v>
      </c>
      <c r="R14" s="78">
        <f t="shared" si="11"/>
        <v>0.62924485404960351</v>
      </c>
      <c r="S14" s="71">
        <f>Datos!$I$12*FGP!R14/100</f>
        <v>6063537.462125171</v>
      </c>
      <c r="T14" s="72">
        <f t="shared" si="12"/>
        <v>44521629.690453798</v>
      </c>
      <c r="U14" s="73">
        <f t="shared" si="13"/>
        <v>3.0697485567960188</v>
      </c>
      <c r="V14" s="74"/>
      <c r="W14" s="75">
        <v>0.76323116375625843</v>
      </c>
      <c r="X14" s="75">
        <f t="shared" si="0"/>
        <v>0.61914482926334891</v>
      </c>
      <c r="Y14" s="76"/>
      <c r="Z14" s="76"/>
      <c r="AA14" s="74"/>
      <c r="AB14" s="74"/>
    </row>
    <row r="15" spans="1:28" s="5" customFormat="1" ht="16.5" customHeight="1" x14ac:dyDescent="0.25">
      <c r="A15" s="60" t="s">
        <v>52</v>
      </c>
      <c r="B15" s="77">
        <v>3.16</v>
      </c>
      <c r="C15" s="62">
        <f t="shared" si="1"/>
        <v>30858285.308760002</v>
      </c>
      <c r="D15" s="63">
        <f>'CENSO 2020'!C17</f>
        <v>29299</v>
      </c>
      <c r="E15" s="64">
        <f t="shared" si="2"/>
        <v>2.3715130283878989</v>
      </c>
      <c r="F15" s="65">
        <f t="shared" si="3"/>
        <v>1.4229078170327394</v>
      </c>
      <c r="G15" s="66">
        <f>Datos!$I$12*FGP!F15/100</f>
        <v>13711442.848046921</v>
      </c>
      <c r="H15" s="67">
        <f>'Predial y Agua'!D14</f>
        <v>13225625.039999999</v>
      </c>
      <c r="I15" s="68">
        <f>'Predial y Agua'!G14</f>
        <v>14615438</v>
      </c>
      <c r="J15" s="64">
        <f t="shared" si="4"/>
        <v>1.1050848603220345</v>
      </c>
      <c r="K15" s="64">
        <f t="shared" si="5"/>
        <v>4.920508212144985</v>
      </c>
      <c r="L15" s="78">
        <f t="shared" si="6"/>
        <v>1.4761524636434955</v>
      </c>
      <c r="M15" s="69">
        <f>Datos!$I$12*FGP!L15/100</f>
        <v>14224519.605535168</v>
      </c>
      <c r="N15" s="79">
        <f t="shared" si="7"/>
        <v>27935962.453582089</v>
      </c>
      <c r="O15" s="78">
        <f t="shared" si="8"/>
        <v>2.8990602806762347</v>
      </c>
      <c r="P15" s="78">
        <f t="shared" si="9"/>
        <v>0.34493936075269882</v>
      </c>
      <c r="Q15" s="78">
        <f t="shared" si="10"/>
        <v>5.2971454456406599</v>
      </c>
      <c r="R15" s="78">
        <f t="shared" si="11"/>
        <v>0.52971454456406597</v>
      </c>
      <c r="S15" s="71">
        <f>Datos!$I$12*FGP!R15/100</f>
        <v>5104442.1969060544</v>
      </c>
      <c r="T15" s="72">
        <f t="shared" si="12"/>
        <v>63898689.959248148</v>
      </c>
      <c r="U15" s="73">
        <f t="shared" si="13"/>
        <v>3.4287748252403007</v>
      </c>
      <c r="V15" s="74"/>
      <c r="W15" s="75">
        <v>1.5455894402307131</v>
      </c>
      <c r="X15" s="75">
        <f t="shared" si="0"/>
        <v>-0.44050457990867864</v>
      </c>
      <c r="Y15" s="76"/>
      <c r="Z15" s="76"/>
      <c r="AA15" s="74"/>
      <c r="AB15" s="74"/>
    </row>
    <row r="16" spans="1:28" s="5" customFormat="1" ht="16.5" customHeight="1" x14ac:dyDescent="0.25">
      <c r="A16" s="60" t="s">
        <v>53</v>
      </c>
      <c r="B16" s="77">
        <v>2.81</v>
      </c>
      <c r="C16" s="62">
        <f t="shared" si="1"/>
        <v>27440437.252410002</v>
      </c>
      <c r="D16" s="63">
        <f>'CENSO 2020'!C18</f>
        <v>19321</v>
      </c>
      <c r="E16" s="64">
        <f t="shared" si="2"/>
        <v>1.563876010153336</v>
      </c>
      <c r="F16" s="65">
        <f t="shared" si="3"/>
        <v>0.93832560609200155</v>
      </c>
      <c r="G16" s="66">
        <f>Datos!$I$12*FGP!F16/100</f>
        <v>9041905.4325101376</v>
      </c>
      <c r="H16" s="67">
        <f>'Predial y Agua'!D15</f>
        <v>5088832.29</v>
      </c>
      <c r="I16" s="68">
        <f>'Predial y Agua'!G15</f>
        <v>4578677</v>
      </c>
      <c r="J16" s="64">
        <f t="shared" si="4"/>
        <v>0.89975002890103106</v>
      </c>
      <c r="K16" s="64">
        <f t="shared" si="5"/>
        <v>4.0062329736334146</v>
      </c>
      <c r="L16" s="78">
        <f t="shared" si="6"/>
        <v>1.2018698920900244</v>
      </c>
      <c r="M16" s="69">
        <f>Datos!$I$12*FGP!L16/100</f>
        <v>11581474.31542399</v>
      </c>
      <c r="N16" s="79">
        <f t="shared" si="7"/>
        <v>20623379.747934125</v>
      </c>
      <c r="O16" s="78">
        <f t="shared" si="8"/>
        <v>2.1401954981820257</v>
      </c>
      <c r="P16" s="78">
        <f t="shared" si="9"/>
        <v>0.46724703460475603</v>
      </c>
      <c r="Q16" s="78">
        <f t="shared" si="10"/>
        <v>7.1753930776261008</v>
      </c>
      <c r="R16" s="78">
        <f t="shared" si="11"/>
        <v>0.7175393077626101</v>
      </c>
      <c r="S16" s="71">
        <f>Datos!$I$12*FGP!R16/100</f>
        <v>6914361.6275373986</v>
      </c>
      <c r="T16" s="72">
        <f t="shared" si="12"/>
        <v>54978178.627881527</v>
      </c>
      <c r="U16" s="73">
        <f t="shared" si="13"/>
        <v>2.8577348059446361</v>
      </c>
      <c r="V16" s="74"/>
      <c r="W16" s="75">
        <v>1.3217513416832607</v>
      </c>
      <c r="X16" s="75">
        <f t="shared" si="0"/>
        <v>-0.42200131278222963</v>
      </c>
      <c r="Y16" s="76"/>
      <c r="Z16" s="76"/>
      <c r="AA16" s="74"/>
      <c r="AB16" s="74"/>
    </row>
    <row r="17" spans="1:28" s="5" customFormat="1" ht="16.5" customHeight="1" x14ac:dyDescent="0.25">
      <c r="A17" s="60" t="s">
        <v>54</v>
      </c>
      <c r="B17" s="77">
        <v>1.6</v>
      </c>
      <c r="C17" s="62">
        <f t="shared" si="1"/>
        <v>15624448.257600002</v>
      </c>
      <c r="D17" s="63">
        <f>'CENSO 2020'!C19</f>
        <v>13719</v>
      </c>
      <c r="E17" s="64">
        <f t="shared" si="2"/>
        <v>1.1104401937422297</v>
      </c>
      <c r="F17" s="65">
        <f t="shared" si="3"/>
        <v>0.66626411624533777</v>
      </c>
      <c r="G17" s="66">
        <f>Datos!$I$12*FGP!F17/100</f>
        <v>6420262.9588844571</v>
      </c>
      <c r="H17" s="67">
        <f>'Predial y Agua'!D16</f>
        <v>838691.02</v>
      </c>
      <c r="I17" s="68">
        <f>'Predial y Agua'!G16</f>
        <v>1103886</v>
      </c>
      <c r="J17" s="64">
        <f t="shared" si="4"/>
        <v>1.3162010486293272</v>
      </c>
      <c r="K17" s="64">
        <f t="shared" si="5"/>
        <v>5.8605255588490772</v>
      </c>
      <c r="L17" s="78">
        <f t="shared" si="6"/>
        <v>1.758157667654723</v>
      </c>
      <c r="M17" s="69">
        <f>Datos!$I$12*FGP!L17/100</f>
        <v>16941981.82716747</v>
      </c>
      <c r="N17" s="79">
        <f t="shared" si="7"/>
        <v>23362244.786051929</v>
      </c>
      <c r="O17" s="78">
        <f t="shared" si="8"/>
        <v>2.424421783900061</v>
      </c>
      <c r="P17" s="78">
        <f t="shared" si="9"/>
        <v>0.41246948309107495</v>
      </c>
      <c r="Q17" s="78">
        <f t="shared" si="10"/>
        <v>6.3341882441421262</v>
      </c>
      <c r="R17" s="78">
        <f t="shared" si="11"/>
        <v>0.63341882441421271</v>
      </c>
      <c r="S17" s="71">
        <f>Datos!$I$12*FGP!R17/100</f>
        <v>6103758.7297425829</v>
      </c>
      <c r="T17" s="72">
        <f t="shared" si="12"/>
        <v>45090451.77339451</v>
      </c>
      <c r="U17" s="73">
        <f t="shared" si="13"/>
        <v>3.0578406083142733</v>
      </c>
      <c r="V17" s="74"/>
      <c r="W17" s="75">
        <v>1.0641937928415424</v>
      </c>
      <c r="X17" s="75">
        <f t="shared" si="0"/>
        <v>0.25200725578778482</v>
      </c>
      <c r="Y17" s="76"/>
      <c r="Z17" s="76"/>
      <c r="AA17" s="74"/>
      <c r="AB17" s="74"/>
    </row>
    <row r="18" spans="1:28" s="5" customFormat="1" ht="16.5" customHeight="1" x14ac:dyDescent="0.25">
      <c r="A18" s="60" t="s">
        <v>55</v>
      </c>
      <c r="B18" s="77">
        <v>2.84</v>
      </c>
      <c r="C18" s="62">
        <f t="shared" si="1"/>
        <v>27733395.65724</v>
      </c>
      <c r="D18" s="63">
        <f>'CENSO 2020'!C20</f>
        <v>33567</v>
      </c>
      <c r="E18" s="64">
        <f t="shared" si="2"/>
        <v>2.7169725186489848</v>
      </c>
      <c r="F18" s="65">
        <f t="shared" si="3"/>
        <v>1.6301835111893908</v>
      </c>
      <c r="G18" s="66">
        <f>Datos!$I$12*FGP!F18/100</f>
        <v>15708795.593036998</v>
      </c>
      <c r="H18" s="67">
        <f>'Predial y Agua'!D17</f>
        <v>2832078.8</v>
      </c>
      <c r="I18" s="68">
        <f>'Predial y Agua'!G17</f>
        <v>2885897</v>
      </c>
      <c r="J18" s="64">
        <f t="shared" si="4"/>
        <v>1.0190030729370949</v>
      </c>
      <c r="K18" s="64">
        <f t="shared" si="5"/>
        <v>4.5372198720800592</v>
      </c>
      <c r="L18" s="78">
        <f t="shared" si="6"/>
        <v>1.3611659616240177</v>
      </c>
      <c r="M18" s="69">
        <f>Datos!$I$12*FGP!L18/100</f>
        <v>13116485.176414713</v>
      </c>
      <c r="N18" s="79">
        <f t="shared" si="7"/>
        <v>28825280.769451711</v>
      </c>
      <c r="O18" s="78">
        <f t="shared" si="8"/>
        <v>2.9913494728134085</v>
      </c>
      <c r="P18" s="78">
        <f t="shared" si="9"/>
        <v>0.33429728257711233</v>
      </c>
      <c r="Q18" s="78">
        <f t="shared" si="10"/>
        <v>5.1337177758701014</v>
      </c>
      <c r="R18" s="78">
        <f t="shared" si="11"/>
        <v>0.51337177758701014</v>
      </c>
      <c r="S18" s="71">
        <f>Datos!$I$12*FGP!R18/100</f>
        <v>4946959.8128032377</v>
      </c>
      <c r="T18" s="72">
        <f t="shared" si="12"/>
        <v>61505636.23949495</v>
      </c>
      <c r="U18" s="73">
        <f t="shared" si="13"/>
        <v>3.5047212504004186</v>
      </c>
      <c r="V18" s="74"/>
      <c r="W18" s="75">
        <v>0.85819469233584766</v>
      </c>
      <c r="X18" s="75">
        <f t="shared" si="0"/>
        <v>0.16080838060124725</v>
      </c>
      <c r="Y18" s="76"/>
      <c r="Z18" s="76"/>
      <c r="AA18" s="74"/>
      <c r="AB18" s="74"/>
    </row>
    <row r="19" spans="1:28" s="5" customFormat="1" ht="16.5" customHeight="1" x14ac:dyDescent="0.25">
      <c r="A19" s="60" t="s">
        <v>56</v>
      </c>
      <c r="B19" s="77">
        <v>3.33</v>
      </c>
      <c r="C19" s="62">
        <f t="shared" si="1"/>
        <v>32518382.936129998</v>
      </c>
      <c r="D19" s="63">
        <f>'CENSO 2020'!C21</f>
        <v>24096</v>
      </c>
      <c r="E19" s="64">
        <f t="shared" si="2"/>
        <v>1.9503729796933278</v>
      </c>
      <c r="F19" s="65">
        <f t="shared" si="3"/>
        <v>1.1702237878159967</v>
      </c>
      <c r="G19" s="66">
        <f>Datos!$I$12*FGP!F19/100</f>
        <v>11276525.713046132</v>
      </c>
      <c r="H19" s="67">
        <f>'Predial y Agua'!D18</f>
        <v>3147655.25</v>
      </c>
      <c r="I19" s="68">
        <f>'Predial y Agua'!G18</f>
        <v>2627199</v>
      </c>
      <c r="J19" s="64">
        <f t="shared" si="4"/>
        <v>0.83465271490580173</v>
      </c>
      <c r="K19" s="64">
        <f t="shared" si="5"/>
        <v>3.7163802396010581</v>
      </c>
      <c r="L19" s="78">
        <f t="shared" si="6"/>
        <v>1.1149140718803174</v>
      </c>
      <c r="M19" s="69">
        <f>Datos!$I$12*FGP!L19/100</f>
        <v>10743549.507619657</v>
      </c>
      <c r="N19" s="79">
        <f t="shared" si="7"/>
        <v>22020075.22066579</v>
      </c>
      <c r="O19" s="78">
        <f t="shared" si="8"/>
        <v>2.2851378596963139</v>
      </c>
      <c r="P19" s="78">
        <f t="shared" si="9"/>
        <v>0.43761035937363368</v>
      </c>
      <c r="Q19" s="78">
        <f t="shared" si="10"/>
        <v>6.7202702442043059</v>
      </c>
      <c r="R19" s="78">
        <f t="shared" si="11"/>
        <v>0.67202702442043061</v>
      </c>
      <c r="S19" s="71">
        <f>Datos!$I$12*FGP!R19/100</f>
        <v>6475795.5697363019</v>
      </c>
      <c r="T19" s="72">
        <f t="shared" si="12"/>
        <v>61014253.726532087</v>
      </c>
      <c r="U19" s="73">
        <f t="shared" si="13"/>
        <v>2.9571648841167448</v>
      </c>
      <c r="V19" s="74"/>
      <c r="W19" s="75">
        <v>0.30847701853884074</v>
      </c>
      <c r="X19" s="75">
        <f t="shared" si="0"/>
        <v>0.52617569636696104</v>
      </c>
      <c r="Y19" s="76"/>
      <c r="Z19" s="76"/>
      <c r="AA19" s="74"/>
      <c r="AB19" s="74"/>
    </row>
    <row r="20" spans="1:28" s="5" customFormat="1" ht="16.5" customHeight="1" x14ac:dyDescent="0.25">
      <c r="A20" s="60" t="s">
        <v>57</v>
      </c>
      <c r="B20" s="77">
        <v>4.6900000000000004</v>
      </c>
      <c r="C20" s="62">
        <f t="shared" si="1"/>
        <v>45799163.955090009</v>
      </c>
      <c r="D20" s="63">
        <f>'CENSO 2020'!C22</f>
        <v>41518</v>
      </c>
      <c r="E20" s="64">
        <f t="shared" si="2"/>
        <v>3.3605405615416495</v>
      </c>
      <c r="F20" s="65">
        <f t="shared" si="3"/>
        <v>2.0163243369249897</v>
      </c>
      <c r="G20" s="66">
        <f>Datos!$I$12*FGP!F20/100</f>
        <v>19429730.849694941</v>
      </c>
      <c r="H20" s="67">
        <f>'Predial y Agua'!D19</f>
        <v>6543396.6000000006</v>
      </c>
      <c r="I20" s="68">
        <f>'Predial y Agua'!G19</f>
        <v>8987543</v>
      </c>
      <c r="J20" s="64">
        <f t="shared" si="4"/>
        <v>1.3735286960903454</v>
      </c>
      <c r="K20" s="64">
        <f t="shared" si="5"/>
        <v>6.115783023902658</v>
      </c>
      <c r="L20" s="78">
        <f t="shared" si="6"/>
        <v>1.8347349071707972</v>
      </c>
      <c r="M20" s="69">
        <f>Datos!$I$12*FGP!L20/100</f>
        <v>17679896.420451127</v>
      </c>
      <c r="N20" s="79">
        <f t="shared" si="7"/>
        <v>37109627.270146072</v>
      </c>
      <c r="O20" s="78">
        <f t="shared" si="8"/>
        <v>3.8510592440957869</v>
      </c>
      <c r="P20" s="78">
        <f t="shared" si="9"/>
        <v>0.25966881749044501</v>
      </c>
      <c r="Q20" s="78">
        <f t="shared" si="10"/>
        <v>3.9876675452256127</v>
      </c>
      <c r="R20" s="78">
        <f t="shared" si="11"/>
        <v>0.39876675452256127</v>
      </c>
      <c r="S20" s="71">
        <f>Datos!$I$12*FGP!R20/100</f>
        <v>3842601.3961601919</v>
      </c>
      <c r="T20" s="72">
        <f t="shared" si="12"/>
        <v>86751392.621396273</v>
      </c>
      <c r="U20" s="73">
        <f t="shared" si="13"/>
        <v>4.2498259986183484</v>
      </c>
      <c r="V20" s="74"/>
      <c r="W20" s="75">
        <v>0.9189459125639704</v>
      </c>
      <c r="X20" s="75">
        <f t="shared" si="0"/>
        <v>0.45458278352637504</v>
      </c>
      <c r="Y20" s="76"/>
      <c r="Z20" s="76"/>
      <c r="AA20" s="74"/>
      <c r="AB20" s="74"/>
    </row>
    <row r="21" spans="1:28" s="5" customFormat="1" ht="16.5" customHeight="1" x14ac:dyDescent="0.25">
      <c r="A21" s="60" t="s">
        <v>58</v>
      </c>
      <c r="B21" s="77">
        <v>2.13</v>
      </c>
      <c r="C21" s="62">
        <f t="shared" si="1"/>
        <v>20800046.742929999</v>
      </c>
      <c r="D21" s="63">
        <f>'CENSO 2020'!C23</f>
        <v>7683</v>
      </c>
      <c r="E21" s="64">
        <f t="shared" si="2"/>
        <v>0.62187564753418989</v>
      </c>
      <c r="F21" s="65">
        <f t="shared" si="3"/>
        <v>0.37312538852051391</v>
      </c>
      <c r="G21" s="66">
        <f>Datos!$I$12*FGP!F21/100</f>
        <v>3595515.7309650327</v>
      </c>
      <c r="H21" s="67">
        <f>'Predial y Agua'!D20</f>
        <v>2330761.59</v>
      </c>
      <c r="I21" s="68">
        <f>'Predial y Agua'!G20</f>
        <v>2290506</v>
      </c>
      <c r="J21" s="64">
        <f t="shared" si="4"/>
        <v>0.9827285681329595</v>
      </c>
      <c r="K21" s="64">
        <f t="shared" si="5"/>
        <v>4.3757037702955976</v>
      </c>
      <c r="L21" s="78">
        <f t="shared" si="6"/>
        <v>1.3127111310886792</v>
      </c>
      <c r="M21" s="69">
        <f>Datos!$I$12*FGP!L21/100</f>
        <v>12649564.107007302</v>
      </c>
      <c r="N21" s="79">
        <f t="shared" si="7"/>
        <v>16245079.837972336</v>
      </c>
      <c r="O21" s="78">
        <f t="shared" si="8"/>
        <v>1.6858365196091931</v>
      </c>
      <c r="P21" s="78">
        <f t="shared" si="9"/>
        <v>0.59317732672668511</v>
      </c>
      <c r="Q21" s="78">
        <f t="shared" si="10"/>
        <v>9.1092723308555534</v>
      </c>
      <c r="R21" s="78">
        <f t="shared" si="11"/>
        <v>0.91092723308555534</v>
      </c>
      <c r="S21" s="71">
        <f>Datos!$I$12*FGP!R21/100</f>
        <v>8777888.8735240716</v>
      </c>
      <c r="T21" s="72">
        <f t="shared" si="12"/>
        <v>45823015.454426408</v>
      </c>
      <c r="U21" s="73">
        <f t="shared" si="13"/>
        <v>2.5967637526947485</v>
      </c>
      <c r="V21" s="74"/>
      <c r="W21" s="75">
        <v>0.95554775379956836</v>
      </c>
      <c r="X21" s="75">
        <f t="shared" si="0"/>
        <v>2.7180814333391146E-2</v>
      </c>
      <c r="Y21" s="76"/>
      <c r="Z21" s="76"/>
      <c r="AA21" s="74"/>
      <c r="AB21" s="74"/>
    </row>
    <row r="22" spans="1:28" s="5" customFormat="1" ht="16.5" customHeight="1" x14ac:dyDescent="0.25">
      <c r="A22" s="60" t="s">
        <v>59</v>
      </c>
      <c r="B22" s="77">
        <v>2.81</v>
      </c>
      <c r="C22" s="62">
        <f t="shared" si="1"/>
        <v>27440437.252410002</v>
      </c>
      <c r="D22" s="63">
        <f>'CENSO 2020'!C24</f>
        <v>24911</v>
      </c>
      <c r="E22" s="64">
        <f t="shared" si="2"/>
        <v>2.0163405252797348</v>
      </c>
      <c r="F22" s="65">
        <f t="shared" si="3"/>
        <v>1.2098043151678408</v>
      </c>
      <c r="G22" s="66">
        <f>Datos!$I$12*FGP!F22/100</f>
        <v>11657932.106477927</v>
      </c>
      <c r="H22" s="67">
        <f>'Predial y Agua'!D21</f>
        <v>4292702.12</v>
      </c>
      <c r="I22" s="68">
        <f>'Predial y Agua'!G21</f>
        <v>4665876</v>
      </c>
      <c r="J22" s="64">
        <f t="shared" si="4"/>
        <v>1.0869321629053543</v>
      </c>
      <c r="K22" s="64">
        <f t="shared" si="5"/>
        <v>4.8396813906777822</v>
      </c>
      <c r="L22" s="78">
        <f t="shared" si="6"/>
        <v>1.4519044172033346</v>
      </c>
      <c r="M22" s="69">
        <f>Datos!$I$12*FGP!L22/100</f>
        <v>13990860.264458258</v>
      </c>
      <c r="N22" s="79">
        <f t="shared" si="7"/>
        <v>25648792.370936185</v>
      </c>
      <c r="O22" s="78">
        <f t="shared" si="8"/>
        <v>2.6617087323711752</v>
      </c>
      <c r="P22" s="78">
        <f t="shared" si="9"/>
        <v>0.37569850819445333</v>
      </c>
      <c r="Q22" s="78">
        <f t="shared" si="10"/>
        <v>5.7695057974060671</v>
      </c>
      <c r="R22" s="78">
        <f t="shared" si="11"/>
        <v>0.57695057974060671</v>
      </c>
      <c r="S22" s="71">
        <f>Datos!$I$12*FGP!R22/100</f>
        <v>5559618.6945952009</v>
      </c>
      <c r="T22" s="72">
        <f t="shared" si="12"/>
        <v>58648848.317941383</v>
      </c>
      <c r="U22" s="73">
        <f t="shared" si="13"/>
        <v>3.2386593121117824</v>
      </c>
      <c r="V22" s="74"/>
      <c r="W22" s="75">
        <v>1.699762368686244</v>
      </c>
      <c r="X22" s="75">
        <f t="shared" si="0"/>
        <v>-0.61283020578088965</v>
      </c>
      <c r="Y22" s="76"/>
      <c r="Z22" s="76"/>
      <c r="AA22" s="74"/>
      <c r="AB22" s="74"/>
    </row>
    <row r="23" spans="1:28" s="5" customFormat="1" ht="16.5" customHeight="1" x14ac:dyDescent="0.25">
      <c r="A23" s="60" t="s">
        <v>60</v>
      </c>
      <c r="B23" s="77">
        <v>8.34</v>
      </c>
      <c r="C23" s="62">
        <f t="shared" si="1"/>
        <v>81442436.542740002</v>
      </c>
      <c r="D23" s="63">
        <f>'CENSO 2020'!C25</f>
        <v>93981</v>
      </c>
      <c r="E23" s="64">
        <f t="shared" si="2"/>
        <v>7.6069888365105687</v>
      </c>
      <c r="F23" s="65">
        <f t="shared" si="3"/>
        <v>4.5641933019063412</v>
      </c>
      <c r="G23" s="66">
        <f>Datos!$I$12*FGP!F23/100</f>
        <v>43981538.970691755</v>
      </c>
      <c r="H23" s="67">
        <f>'Predial y Agua'!D22</f>
        <v>20249401.050000001</v>
      </c>
      <c r="I23" s="68">
        <f>'Predial y Agua'!G22</f>
        <v>26816798</v>
      </c>
      <c r="J23" s="64">
        <f t="shared" si="4"/>
        <v>1.32432549159275</v>
      </c>
      <c r="K23" s="64">
        <f t="shared" si="5"/>
        <v>5.8967005077204027</v>
      </c>
      <c r="L23" s="78">
        <f t="shared" si="6"/>
        <v>1.7690101523161208</v>
      </c>
      <c r="M23" s="69">
        <f>Datos!$I$12*FGP!L23/100</f>
        <v>17046558.681277648</v>
      </c>
      <c r="N23" s="79">
        <f t="shared" si="7"/>
        <v>61028097.651969403</v>
      </c>
      <c r="O23" s="78">
        <f t="shared" si="8"/>
        <v>6.3332034542224616</v>
      </c>
      <c r="P23" s="78">
        <f t="shared" si="9"/>
        <v>0.15789797489188223</v>
      </c>
      <c r="Q23" s="78">
        <f t="shared" si="10"/>
        <v>2.4247987725995497</v>
      </c>
      <c r="R23" s="78">
        <f t="shared" si="11"/>
        <v>0.24247987725995498</v>
      </c>
      <c r="S23" s="71">
        <f>Datos!$I$12*FGP!R23/100</f>
        <v>2336587.752947039</v>
      </c>
      <c r="T23" s="72">
        <f t="shared" si="12"/>
        <v>144807121.94765645</v>
      </c>
      <c r="U23" s="73">
        <f t="shared" si="13"/>
        <v>6.5756833314824163</v>
      </c>
      <c r="V23" s="74"/>
      <c r="W23" s="75">
        <v>1.2135546261977699</v>
      </c>
      <c r="X23" s="75">
        <f t="shared" si="0"/>
        <v>0.11077086539498016</v>
      </c>
      <c r="Y23" s="76"/>
      <c r="Z23" s="76"/>
      <c r="AA23" s="74"/>
      <c r="AB23" s="74"/>
    </row>
    <row r="24" spans="1:28" s="5" customFormat="1" ht="16.5" customHeight="1" x14ac:dyDescent="0.25">
      <c r="A24" s="60" t="s">
        <v>61</v>
      </c>
      <c r="B24" s="77">
        <v>3.5</v>
      </c>
      <c r="C24" s="62">
        <f t="shared" si="1"/>
        <v>34178480.563500002</v>
      </c>
      <c r="D24" s="63">
        <f>'CENSO 2020'!C26</f>
        <v>37135</v>
      </c>
      <c r="E24" s="64">
        <f t="shared" si="2"/>
        <v>3.0057727673021133</v>
      </c>
      <c r="F24" s="65">
        <f t="shared" si="3"/>
        <v>1.8034636603812679</v>
      </c>
      <c r="G24" s="66">
        <f>Datos!$I$12*FGP!F24/100</f>
        <v>17378560.024650067</v>
      </c>
      <c r="H24" s="67">
        <f>'Predial y Agua'!D23</f>
        <v>6350766.8900000006</v>
      </c>
      <c r="I24" s="68">
        <f>'Predial y Agua'!G23</f>
        <v>10903968</v>
      </c>
      <c r="J24" s="64">
        <f t="shared" si="4"/>
        <v>1.7169529584166487</v>
      </c>
      <c r="K24" s="64">
        <f t="shared" si="5"/>
        <v>7.644916182539883</v>
      </c>
      <c r="L24" s="78">
        <f t="shared" si="6"/>
        <v>2.293474854761965</v>
      </c>
      <c r="M24" s="69">
        <f>Datos!$I$12*FGP!L24/100</f>
        <v>22100412.281154715</v>
      </c>
      <c r="N24" s="79">
        <f t="shared" si="7"/>
        <v>39478972.305804782</v>
      </c>
      <c r="O24" s="78">
        <f t="shared" si="8"/>
        <v>4.0969385151432327</v>
      </c>
      <c r="P24" s="78">
        <f t="shared" si="9"/>
        <v>0.24408469795281737</v>
      </c>
      <c r="Q24" s="78">
        <f t="shared" si="10"/>
        <v>3.748346211606489</v>
      </c>
      <c r="R24" s="78">
        <f t="shared" si="11"/>
        <v>0.37483462116064892</v>
      </c>
      <c r="S24" s="71">
        <f>Datos!$I$12*FGP!R24/100</f>
        <v>3611986.2608044851</v>
      </c>
      <c r="T24" s="72">
        <f t="shared" si="12"/>
        <v>77269439.130109265</v>
      </c>
      <c r="U24" s="73">
        <f t="shared" si="13"/>
        <v>4.4717731363038817</v>
      </c>
      <c r="V24" s="74"/>
      <c r="W24" s="75">
        <v>0.93743913529070699</v>
      </c>
      <c r="X24" s="75">
        <f t="shared" si="0"/>
        <v>0.77951382312594175</v>
      </c>
      <c r="Y24" s="76"/>
      <c r="Z24" s="76"/>
      <c r="AA24" s="74"/>
      <c r="AB24" s="74"/>
    </row>
    <row r="25" spans="1:28" s="5" customFormat="1" ht="16.5" customHeight="1" x14ac:dyDescent="0.25">
      <c r="A25" s="60" t="s">
        <v>62</v>
      </c>
      <c r="B25" s="77">
        <v>39</v>
      </c>
      <c r="C25" s="62">
        <f t="shared" si="1"/>
        <v>380845926.27900004</v>
      </c>
      <c r="D25" s="63">
        <f>'CENSO 2020'!C27</f>
        <v>425924</v>
      </c>
      <c r="E25" s="64">
        <f t="shared" si="2"/>
        <v>34.475044032324909</v>
      </c>
      <c r="F25" s="65">
        <f t="shared" si="3"/>
        <v>20.685026419394944</v>
      </c>
      <c r="G25" s="66">
        <f>Datos!$I$12*FGP!F25/100</f>
        <v>199325321.1239816</v>
      </c>
      <c r="H25" s="67">
        <f>'Predial y Agua'!D24</f>
        <v>271389232.78000003</v>
      </c>
      <c r="I25" s="68">
        <f>'Predial y Agua'!G24</f>
        <v>359149165.05000001</v>
      </c>
      <c r="J25" s="64">
        <f t="shared" si="4"/>
        <v>1.3233729332996125</v>
      </c>
      <c r="K25" s="64">
        <f t="shared" si="5"/>
        <v>5.8924591403175732</v>
      </c>
      <c r="L25" s="78">
        <f t="shared" si="6"/>
        <v>1.767737742095272</v>
      </c>
      <c r="M25" s="69">
        <f>Datos!$I$12*FGP!L25/100</f>
        <v>17034297.465327043</v>
      </c>
      <c r="N25" s="79">
        <f t="shared" si="7"/>
        <v>216359618.58930865</v>
      </c>
      <c r="O25" s="78">
        <f t="shared" si="8"/>
        <v>22.452764161490215</v>
      </c>
      <c r="P25" s="78">
        <f t="shared" si="9"/>
        <v>4.4537946099088621E-2</v>
      </c>
      <c r="Q25" s="78">
        <f t="shared" si="10"/>
        <v>0.68395783485584905</v>
      </c>
      <c r="R25" s="78">
        <f t="shared" si="11"/>
        <v>6.8395783485584907E-2</v>
      </c>
      <c r="S25" s="71">
        <f>Datos!$I$12*FGP!R25/100</f>
        <v>659076.34007214895</v>
      </c>
      <c r="T25" s="72">
        <f t="shared" si="12"/>
        <v>597864621.20838082</v>
      </c>
      <c r="U25" s="73">
        <f t="shared" si="13"/>
        <v>22.5211599449758</v>
      </c>
      <c r="V25" s="74"/>
      <c r="W25" s="75">
        <v>0.78971025252641724</v>
      </c>
      <c r="X25" s="75">
        <f t="shared" si="0"/>
        <v>0.53366268077319523</v>
      </c>
      <c r="Y25" s="76"/>
      <c r="Z25" s="76"/>
      <c r="AA25" s="74"/>
      <c r="AB25" s="74"/>
    </row>
    <row r="26" spans="1:28" s="5" customFormat="1" ht="16.5" customHeight="1" x14ac:dyDescent="0.25">
      <c r="A26" s="60" t="s">
        <v>63</v>
      </c>
      <c r="B26" s="77">
        <v>3.79</v>
      </c>
      <c r="C26" s="62">
        <f t="shared" si="1"/>
        <v>37010411.81019</v>
      </c>
      <c r="D26" s="63">
        <f>'CENSO 2020'!C28</f>
        <v>30064</v>
      </c>
      <c r="E26" s="64">
        <f t="shared" si="2"/>
        <v>2.4334334852880231</v>
      </c>
      <c r="F26" s="65">
        <f t="shared" si="3"/>
        <v>1.4600600911728139</v>
      </c>
      <c r="G26" s="66">
        <f>Datos!$I$12*FGP!F26/100</f>
        <v>14069450.076237502</v>
      </c>
      <c r="H26" s="67">
        <f>'Predial y Agua'!D25</f>
        <v>2577638.86</v>
      </c>
      <c r="I26" s="68">
        <f>'Predial y Agua'!G25</f>
        <v>2159731</v>
      </c>
      <c r="J26" s="64">
        <f t="shared" si="4"/>
        <v>0.83787183438101953</v>
      </c>
      <c r="K26" s="64">
        <f t="shared" si="5"/>
        <v>3.7307137124250995</v>
      </c>
      <c r="L26" s="78">
        <f t="shared" si="6"/>
        <v>1.1192141137275298</v>
      </c>
      <c r="M26" s="69">
        <f>Datos!$I$12*FGP!L26/100</f>
        <v>10784985.626900535</v>
      </c>
      <c r="N26" s="79">
        <f t="shared" si="7"/>
        <v>24854435.703138039</v>
      </c>
      <c r="O26" s="78">
        <f t="shared" si="8"/>
        <v>2.5792742049003436</v>
      </c>
      <c r="P26" s="78">
        <f t="shared" si="9"/>
        <v>0.38770596708954308</v>
      </c>
      <c r="Q26" s="78">
        <f t="shared" si="10"/>
        <v>5.9539012692972655</v>
      </c>
      <c r="R26" s="78">
        <f t="shared" si="11"/>
        <v>0.59539012692972659</v>
      </c>
      <c r="S26" s="71">
        <f>Datos!$I$12*FGP!R26/100</f>
        <v>5737306.0995001281</v>
      </c>
      <c r="T26" s="72">
        <f t="shared" si="12"/>
        <v>67602153.612828165</v>
      </c>
      <c r="U26" s="73">
        <f t="shared" si="13"/>
        <v>3.17466433183007</v>
      </c>
      <c r="V26" s="74"/>
      <c r="W26" s="75">
        <v>1.0987404654646735</v>
      </c>
      <c r="X26" s="75">
        <f t="shared" si="0"/>
        <v>-0.26086863108365399</v>
      </c>
      <c r="Y26" s="76"/>
      <c r="Z26" s="76"/>
      <c r="AA26" s="74"/>
      <c r="AB26" s="74"/>
    </row>
    <row r="27" spans="1:28" s="5" customFormat="1" ht="16.5" customHeight="1" thickBot="1" x14ac:dyDescent="0.3">
      <c r="A27" s="80" t="s">
        <v>64</v>
      </c>
      <c r="B27" s="314">
        <v>3.1</v>
      </c>
      <c r="C27" s="315">
        <f t="shared" si="1"/>
        <v>30272368.499100003</v>
      </c>
      <c r="D27" s="316">
        <f>'CENSO 2020'!C29</f>
        <v>65229</v>
      </c>
      <c r="E27" s="317">
        <f t="shared" si="2"/>
        <v>5.2797509583506006</v>
      </c>
      <c r="F27" s="318">
        <f t="shared" si="3"/>
        <v>3.1678505750103603</v>
      </c>
      <c r="G27" s="319">
        <f>Datos!$I$12*FGP!F27/100</f>
        <v>30526082.990383714</v>
      </c>
      <c r="H27" s="320">
        <f>'Predial y Agua'!D26</f>
        <v>43314555.549999997</v>
      </c>
      <c r="I27" s="321">
        <f>'Predial y Agua'!G26</f>
        <v>42855221</v>
      </c>
      <c r="J27" s="317">
        <f t="shared" si="4"/>
        <v>0.98939537658490417</v>
      </c>
      <c r="K27" s="317">
        <f t="shared" si="5"/>
        <v>4.4053884460290353</v>
      </c>
      <c r="L27" s="317">
        <f t="shared" si="6"/>
        <v>1.3216165338087105</v>
      </c>
      <c r="M27" s="322">
        <f>Datos!$I$12*FGP!L27/100</f>
        <v>12735378.464742146</v>
      </c>
      <c r="N27" s="323">
        <f t="shared" si="7"/>
        <v>43261461.455125861</v>
      </c>
      <c r="O27" s="317">
        <f t="shared" si="8"/>
        <v>4.4894671088190705</v>
      </c>
      <c r="P27" s="317">
        <f t="shared" si="9"/>
        <v>0.22274358532120853</v>
      </c>
      <c r="Q27" s="317">
        <f t="shared" si="10"/>
        <v>3.420616209049665</v>
      </c>
      <c r="R27" s="317">
        <f t="shared" si="11"/>
        <v>0.3420616209049665</v>
      </c>
      <c r="S27" s="324">
        <f>Datos!$I$12*FGP!R27/100</f>
        <v>3296178.6486839051</v>
      </c>
      <c r="T27" s="325">
        <f t="shared" si="12"/>
        <v>76830008.602909774</v>
      </c>
      <c r="U27" s="73">
        <f t="shared" si="13"/>
        <v>4.8315287297240372</v>
      </c>
      <c r="V27" s="74"/>
      <c r="W27" s="75">
        <v>1.0459205946760619</v>
      </c>
      <c r="X27" s="75">
        <f t="shared" si="0"/>
        <v>-5.6525218091157736E-2</v>
      </c>
      <c r="Y27" s="76"/>
      <c r="Z27" s="76"/>
      <c r="AA27" s="74"/>
      <c r="AB27" s="74"/>
    </row>
    <row r="28" spans="1:28" s="5" customFormat="1" ht="16.5" customHeight="1" thickBot="1" x14ac:dyDescent="0.3">
      <c r="A28" s="81" t="s">
        <v>65</v>
      </c>
      <c r="B28" s="466">
        <f>SUM(B8:B27)</f>
        <v>100</v>
      </c>
      <c r="C28" s="467">
        <f>Datos!I10*22.5%</f>
        <v>976528016.10000002</v>
      </c>
      <c r="D28" s="226">
        <f>SUM(D8:D27)</f>
        <v>1235456</v>
      </c>
      <c r="E28" s="227">
        <f>SUM(E8:E27)</f>
        <v>100</v>
      </c>
      <c r="F28" s="228">
        <f t="shared" ref="F28:M28" si="14">SUM(F8:F27)</f>
        <v>59.999999999999993</v>
      </c>
      <c r="G28" s="229">
        <f>SUM(G8:G27)</f>
        <v>578172781.84500015</v>
      </c>
      <c r="H28" s="230">
        <f t="shared" si="14"/>
        <v>800846284.94999993</v>
      </c>
      <c r="I28" s="231">
        <f t="shared" si="14"/>
        <v>926252229.04999995</v>
      </c>
      <c r="J28" s="227">
        <f t="shared" si="14"/>
        <v>22.458754516340854</v>
      </c>
      <c r="K28" s="232">
        <f t="shared" si="14"/>
        <v>99.999999999999986</v>
      </c>
      <c r="L28" s="228">
        <f t="shared" si="14"/>
        <v>30</v>
      </c>
      <c r="M28" s="233">
        <f t="shared" si="14"/>
        <v>289086390.92249995</v>
      </c>
      <c r="N28" s="234">
        <f t="shared" si="7"/>
        <v>867259172.76750016</v>
      </c>
      <c r="O28" s="232">
        <f t="shared" ref="O28:T28" si="15">SUM(O8:O27)</f>
        <v>90</v>
      </c>
      <c r="P28" s="232">
        <f t="shared" si="15"/>
        <v>6.5117970479094582</v>
      </c>
      <c r="Q28" s="232">
        <f t="shared" si="15"/>
        <v>100</v>
      </c>
      <c r="R28" s="232">
        <f t="shared" si="15"/>
        <v>10</v>
      </c>
      <c r="S28" s="233">
        <f>Datos!I17</f>
        <v>96362130.307500005</v>
      </c>
      <c r="T28" s="326">
        <f t="shared" si="15"/>
        <v>1940149319.1750004</v>
      </c>
      <c r="U28" s="73">
        <f t="shared" si="13"/>
        <v>100</v>
      </c>
      <c r="V28" s="74"/>
      <c r="W28" s="75">
        <f>SUM(W8:W27)</f>
        <v>24.538698253136822</v>
      </c>
      <c r="X28" s="75"/>
      <c r="Y28" s="76"/>
      <c r="Z28" s="76"/>
      <c r="AA28" s="74"/>
      <c r="AB28" s="74"/>
    </row>
    <row r="29" spans="1:28" s="5" customFormat="1" ht="16.5" customHeight="1" x14ac:dyDescent="0.25">
      <c r="A29" s="1003" t="s">
        <v>287</v>
      </c>
      <c r="B29" s="1003"/>
      <c r="C29" s="1003"/>
      <c r="D29" s="1003"/>
      <c r="E29" s="1003"/>
      <c r="F29" s="1003"/>
      <c r="G29" s="1003"/>
      <c r="H29" s="1003"/>
      <c r="I29" s="1003"/>
      <c r="J29" s="1003"/>
      <c r="K29" s="1003"/>
      <c r="L29" s="1003"/>
      <c r="M29" s="1003"/>
      <c r="N29" s="1003"/>
      <c r="O29" s="1003"/>
      <c r="P29" s="1003"/>
      <c r="Q29" s="1003"/>
      <c r="R29" s="1003"/>
      <c r="S29" s="1003"/>
      <c r="T29" s="1003"/>
      <c r="U29" s="468"/>
      <c r="V29" s="74"/>
      <c r="W29" s="75"/>
      <c r="X29" s="75"/>
      <c r="Y29" s="76"/>
      <c r="Z29" s="76"/>
      <c r="AA29" s="74"/>
      <c r="AB29" s="74"/>
    </row>
    <row r="30" spans="1:28" s="5" customFormat="1" ht="21.75" customHeight="1" x14ac:dyDescent="0.25">
      <c r="A30" s="469"/>
      <c r="B30" s="479" t="s">
        <v>80</v>
      </c>
      <c r="C30" s="469"/>
      <c r="D30" s="469"/>
      <c r="E30" s="469"/>
      <c r="F30" s="469"/>
      <c r="G30" s="470"/>
      <c r="H30" s="471"/>
      <c r="I30" s="470"/>
      <c r="J30" s="472"/>
      <c r="K30" s="472"/>
      <c r="L30" s="472"/>
      <c r="M30" s="472"/>
      <c r="N30" s="472"/>
      <c r="O30" s="472"/>
      <c r="P30" s="472"/>
      <c r="Q30" s="472"/>
      <c r="R30" s="472"/>
      <c r="S30" s="472"/>
      <c r="T30" s="472"/>
      <c r="X30" s="75"/>
    </row>
    <row r="31" spans="1:28" s="5" customFormat="1" ht="27" customHeight="1" x14ac:dyDescent="0.25">
      <c r="A31" s="469"/>
      <c r="B31" s="1002" t="s">
        <v>289</v>
      </c>
      <c r="C31" s="1002"/>
      <c r="D31" s="1002"/>
      <c r="E31" s="1002"/>
      <c r="F31" s="1002"/>
      <c r="G31" s="1002"/>
      <c r="H31" s="1002"/>
      <c r="I31" s="1002"/>
      <c r="J31" s="1002"/>
      <c r="K31" s="1002"/>
      <c r="L31" s="1002"/>
      <c r="M31" s="1002"/>
      <c r="N31" s="1002"/>
      <c r="O31" s="1002"/>
      <c r="P31" s="1002"/>
      <c r="Q31" s="1002"/>
      <c r="R31" s="1002"/>
      <c r="S31" s="1002"/>
      <c r="T31" s="1002"/>
      <c r="X31" s="75"/>
    </row>
    <row r="32" spans="1:28" ht="15" customHeight="1" x14ac:dyDescent="0.25">
      <c r="A32" s="473"/>
      <c r="B32" s="1004" t="s">
        <v>334</v>
      </c>
      <c r="C32" s="1004"/>
      <c r="D32" s="1004"/>
      <c r="E32" s="1004"/>
      <c r="F32" s="1004"/>
      <c r="G32" s="1004"/>
      <c r="H32" s="1004"/>
      <c r="I32" s="1004"/>
      <c r="J32" s="1004"/>
      <c r="K32" s="1004"/>
      <c r="L32" s="1004"/>
      <c r="M32" s="1004"/>
      <c r="N32" s="1004"/>
      <c r="O32" s="1004"/>
      <c r="P32" s="1004"/>
      <c r="Q32" s="1004"/>
      <c r="R32" s="1004"/>
      <c r="S32" s="1004"/>
      <c r="T32" s="1004"/>
    </row>
    <row r="33" spans="1:20" x14ac:dyDescent="0.25">
      <c r="A33" s="473"/>
      <c r="B33" s="1004" t="s">
        <v>290</v>
      </c>
      <c r="C33" s="1004"/>
      <c r="D33" s="1004"/>
      <c r="E33" s="1004"/>
      <c r="F33" s="1004"/>
      <c r="G33" s="1004"/>
      <c r="H33" s="1004"/>
      <c r="I33" s="1004"/>
      <c r="J33" s="1004"/>
      <c r="K33" s="1004"/>
      <c r="L33" s="1004"/>
      <c r="M33" s="1004"/>
      <c r="N33" s="1004"/>
      <c r="O33" s="1004"/>
      <c r="P33" s="1004"/>
      <c r="Q33" s="1004"/>
      <c r="R33" s="1004"/>
      <c r="S33" s="1004"/>
      <c r="T33" s="1004"/>
    </row>
    <row r="34" spans="1:20" ht="15" customHeight="1" x14ac:dyDescent="0.25">
      <c r="A34" s="473"/>
      <c r="B34" s="1001"/>
      <c r="C34" s="1001"/>
      <c r="D34" s="1001"/>
      <c r="E34" s="1001"/>
      <c r="F34" s="1001"/>
      <c r="G34" s="1001"/>
      <c r="H34" s="1001"/>
      <c r="I34" s="1001"/>
      <c r="J34" s="1001"/>
      <c r="K34" s="1001"/>
      <c r="L34" s="1001"/>
      <c r="M34" s="1001"/>
      <c r="N34" s="1001"/>
      <c r="O34" s="1001"/>
      <c r="P34" s="1001"/>
      <c r="Q34" s="1001"/>
      <c r="R34" s="1001"/>
      <c r="S34" s="1001"/>
      <c r="T34" s="1001"/>
    </row>
    <row r="38" spans="1:20" x14ac:dyDescent="0.25">
      <c r="G38" s="311"/>
    </row>
    <row r="43" spans="1:20" x14ac:dyDescent="0.25">
      <c r="L43" s="59"/>
    </row>
    <row r="44" spans="1:20" x14ac:dyDescent="0.25">
      <c r="L44" s="59"/>
    </row>
    <row r="45" spans="1:20" x14ac:dyDescent="0.25">
      <c r="L45" s="59"/>
    </row>
    <row r="46" spans="1:20" x14ac:dyDescent="0.25">
      <c r="L46" s="59"/>
    </row>
    <row r="47" spans="1:20" x14ac:dyDescent="0.25">
      <c r="L47" s="59"/>
    </row>
    <row r="48" spans="1:20" x14ac:dyDescent="0.25">
      <c r="L48" s="59"/>
    </row>
    <row r="49" spans="12:12" x14ac:dyDescent="0.25">
      <c r="L49" s="59"/>
    </row>
    <row r="50" spans="12:12" x14ac:dyDescent="0.25">
      <c r="L50" s="59"/>
    </row>
    <row r="51" spans="12:12" x14ac:dyDescent="0.25">
      <c r="L51" s="59"/>
    </row>
    <row r="52" spans="12:12" x14ac:dyDescent="0.25">
      <c r="L52" s="59"/>
    </row>
    <row r="53" spans="12:12" x14ac:dyDescent="0.25">
      <c r="L53" s="59"/>
    </row>
    <row r="54" spans="12:12" x14ac:dyDescent="0.25">
      <c r="L54" s="59"/>
    </row>
    <row r="55" spans="12:12" x14ac:dyDescent="0.25">
      <c r="L55" s="59"/>
    </row>
    <row r="56" spans="12:12" x14ac:dyDescent="0.25">
      <c r="L56" s="59"/>
    </row>
    <row r="57" spans="12:12" x14ac:dyDescent="0.25">
      <c r="L57" s="59"/>
    </row>
    <row r="58" spans="12:12" x14ac:dyDescent="0.25">
      <c r="L58" s="59"/>
    </row>
    <row r="59" spans="12:12" x14ac:dyDescent="0.25">
      <c r="L59" s="59"/>
    </row>
    <row r="60" spans="12:12" x14ac:dyDescent="0.25">
      <c r="L60" s="59"/>
    </row>
    <row r="61" spans="12:12" x14ac:dyDescent="0.25">
      <c r="L61" s="59"/>
    </row>
    <row r="62" spans="12:12" x14ac:dyDescent="0.25">
      <c r="L62" s="59"/>
    </row>
    <row r="63" spans="12:12" x14ac:dyDescent="0.25">
      <c r="L63" s="59"/>
    </row>
  </sheetData>
  <mergeCells count="25">
    <mergeCell ref="B34:T34"/>
    <mergeCell ref="B31:T31"/>
    <mergeCell ref="A29:T29"/>
    <mergeCell ref="B32:T32"/>
    <mergeCell ref="B33:T33"/>
    <mergeCell ref="U3:U7"/>
    <mergeCell ref="E4:E5"/>
    <mergeCell ref="D3:G3"/>
    <mergeCell ref="H3:M3"/>
    <mergeCell ref="N3:S3"/>
    <mergeCell ref="R4:R6"/>
    <mergeCell ref="B3:B6"/>
    <mergeCell ref="A1:T1"/>
    <mergeCell ref="A3:A7"/>
    <mergeCell ref="H4:J5"/>
    <mergeCell ref="K4:K6"/>
    <mergeCell ref="N4:N6"/>
    <mergeCell ref="M4:M6"/>
    <mergeCell ref="O4:O6"/>
    <mergeCell ref="P4:P6"/>
    <mergeCell ref="Q4:Q6"/>
    <mergeCell ref="S4:S6"/>
    <mergeCell ref="C3:C6"/>
    <mergeCell ref="G4:G6"/>
    <mergeCell ref="T3:T6"/>
  </mergeCells>
  <pageMargins left="0.56000000000000005" right="0.21" top="0.74803149606299213" bottom="0.74803149606299213" header="0.31496062992125984" footer="0.31496062992125984"/>
  <pageSetup paperSize="5" scale="59"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A1:Q31"/>
  <sheetViews>
    <sheetView workbookViewId="0">
      <selection activeCell="C30" sqref="C30"/>
    </sheetView>
  </sheetViews>
  <sheetFormatPr baseColWidth="10" defaultRowHeight="12.75" x14ac:dyDescent="0.2"/>
  <cols>
    <col min="1" max="1" width="16.85546875" style="552" customWidth="1"/>
    <col min="2" max="2" width="9.28515625" style="552" bestFit="1" customWidth="1"/>
    <col min="3" max="14" width="11.7109375" style="552" bestFit="1" customWidth="1"/>
    <col min="15" max="15" width="13"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315</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68">
        <v>3.6499999999999998E-2</v>
      </c>
      <c r="C7" s="584">
        <f>$C$27*B7</f>
        <v>108515.592445</v>
      </c>
      <c r="D7" s="585">
        <f>$D$27*B7</f>
        <v>109186.11861499998</v>
      </c>
      <c r="E7" s="584">
        <f>$E$27*B7</f>
        <v>124058.65024499998</v>
      </c>
      <c r="F7" s="585">
        <f>$F$27*B7</f>
        <v>119027.88736499999</v>
      </c>
      <c r="G7" s="584">
        <f>$G$27*B7</f>
        <v>127038.63653499998</v>
      </c>
      <c r="H7" s="584">
        <f>$H$27*B7</f>
        <v>122051.483125</v>
      </c>
      <c r="I7" s="586">
        <f>$I$27*B7</f>
        <v>126529.47722999999</v>
      </c>
      <c r="J7" s="585">
        <f>$J$27*B7</f>
        <v>125596.10178499999</v>
      </c>
      <c r="K7" s="584">
        <f>$K$27*B7</f>
        <v>119822.414985</v>
      </c>
      <c r="L7" s="585">
        <f>$L$27*B7</f>
        <v>126138.19832499999</v>
      </c>
      <c r="M7" s="584">
        <f>$M$27*B7</f>
        <v>121486.08644499999</v>
      </c>
      <c r="N7" s="584">
        <f>$N$27*B7</f>
        <v>89422.977899999998</v>
      </c>
      <c r="O7" s="587">
        <f>SUM(C7:N7)</f>
        <v>1418873.625</v>
      </c>
    </row>
    <row r="8" spans="1:15" x14ac:dyDescent="0.2">
      <c r="A8" s="557" t="s">
        <v>144</v>
      </c>
      <c r="B8" s="569">
        <v>1.49E-2</v>
      </c>
      <c r="C8" s="584">
        <f t="shared" ref="C8:C26" si="0">$C$27*B8</f>
        <v>44298.145957000001</v>
      </c>
      <c r="D8" s="585">
        <f t="shared" ref="D8:D26" si="1">$D$27*B8</f>
        <v>44571.867598999997</v>
      </c>
      <c r="E8" s="584">
        <f t="shared" ref="E8:E26" si="2">$E$27*B8</f>
        <v>50643.120236999996</v>
      </c>
      <c r="F8" s="585">
        <f t="shared" ref="F8:F26" si="3">$F$27*B8</f>
        <v>48589.466348999995</v>
      </c>
      <c r="G8" s="584">
        <f t="shared" ref="G8:G26" si="4">$G$27*B8</f>
        <v>51859.607790999995</v>
      </c>
      <c r="H8" s="584">
        <f t="shared" ref="H8:H26" si="5">$H$27*B8</f>
        <v>49823.756125</v>
      </c>
      <c r="I8" s="584">
        <f t="shared" ref="I8:I26" si="6">$I$27*B8</f>
        <v>51651.759198</v>
      </c>
      <c r="J8" s="585">
        <f t="shared" ref="J8:J26" si="7">$J$27*B8</f>
        <v>51270.737440999997</v>
      </c>
      <c r="K8" s="584">
        <f t="shared" ref="K8:K26" si="8">$K$27*B8</f>
        <v>48913.807761000004</v>
      </c>
      <c r="L8" s="585">
        <f t="shared" ref="L8:L26" si="9">$L$27*B8</f>
        <v>51492.031644999995</v>
      </c>
      <c r="M8" s="584">
        <f t="shared" ref="M8:M26" si="10">$M$27*B8</f>
        <v>49592.950357000002</v>
      </c>
      <c r="N8" s="584">
        <f t="shared" ref="N8:N26" si="11">$N$27*B8</f>
        <v>36504.17454</v>
      </c>
      <c r="O8" s="587">
        <f t="shared" ref="O8:O26" si="12">SUM(C8:N8)</f>
        <v>579211.42500000005</v>
      </c>
    </row>
    <row r="9" spans="1:15" x14ac:dyDescent="0.2">
      <c r="A9" s="557" t="s">
        <v>145</v>
      </c>
      <c r="B9" s="569">
        <v>1.09E-2</v>
      </c>
      <c r="C9" s="584">
        <f t="shared" si="0"/>
        <v>32406.026237000002</v>
      </c>
      <c r="D9" s="585">
        <f t="shared" si="1"/>
        <v>32606.265558999996</v>
      </c>
      <c r="E9" s="584">
        <f t="shared" si="2"/>
        <v>37047.651717000001</v>
      </c>
      <c r="F9" s="585">
        <f t="shared" si="3"/>
        <v>35545.314308999994</v>
      </c>
      <c r="G9" s="584">
        <f t="shared" si="4"/>
        <v>37937.565430999995</v>
      </c>
      <c r="H9" s="584">
        <f t="shared" si="5"/>
        <v>36448.251125000003</v>
      </c>
      <c r="I9" s="584">
        <f t="shared" si="6"/>
        <v>37785.515118000003</v>
      </c>
      <c r="J9" s="585">
        <f t="shared" si="7"/>
        <v>37506.781081000001</v>
      </c>
      <c r="K9" s="584">
        <f t="shared" si="8"/>
        <v>35782.584200999998</v>
      </c>
      <c r="L9" s="585">
        <f t="shared" si="9"/>
        <v>37668.667444999999</v>
      </c>
      <c r="M9" s="584">
        <f t="shared" si="10"/>
        <v>36279.406637</v>
      </c>
      <c r="N9" s="584">
        <f t="shared" si="11"/>
        <v>26704.396140000001</v>
      </c>
      <c r="O9" s="587">
        <f t="shared" si="12"/>
        <v>423718.42500000005</v>
      </c>
    </row>
    <row r="10" spans="1:15" x14ac:dyDescent="0.2">
      <c r="A10" s="557" t="s">
        <v>275</v>
      </c>
      <c r="B10" s="569">
        <v>8.8200000000000001E-2</v>
      </c>
      <c r="C10" s="584">
        <f t="shared" si="0"/>
        <v>262221.239826</v>
      </c>
      <c r="D10" s="585">
        <f t="shared" si="1"/>
        <v>263841.524982</v>
      </c>
      <c r="E10" s="584">
        <f t="shared" si="2"/>
        <v>299780.08086599997</v>
      </c>
      <c r="F10" s="585">
        <f t="shared" si="3"/>
        <v>287623.55248199997</v>
      </c>
      <c r="G10" s="584">
        <f t="shared" si="4"/>
        <v>306981.03403799998</v>
      </c>
      <c r="H10" s="584">
        <f t="shared" si="5"/>
        <v>294929.88524999999</v>
      </c>
      <c r="I10" s="584">
        <f t="shared" si="6"/>
        <v>305750.68196399999</v>
      </c>
      <c r="J10" s="585">
        <f t="shared" si="7"/>
        <v>303495.237738</v>
      </c>
      <c r="K10" s="584">
        <f t="shared" si="8"/>
        <v>289543.479498</v>
      </c>
      <c r="L10" s="585">
        <f t="shared" si="9"/>
        <v>304805.18060999998</v>
      </c>
      <c r="M10" s="584">
        <f t="shared" si="10"/>
        <v>293563.63902599999</v>
      </c>
      <c r="N10" s="584">
        <f t="shared" si="11"/>
        <v>216085.11372000002</v>
      </c>
      <c r="O10" s="587">
        <f t="shared" si="12"/>
        <v>3428620.6500000004</v>
      </c>
    </row>
    <row r="11" spans="1:15" x14ac:dyDescent="0.2">
      <c r="A11" s="557" t="s">
        <v>147</v>
      </c>
      <c r="B11" s="569">
        <v>6.6299999999999998E-2</v>
      </c>
      <c r="C11" s="584">
        <f t="shared" si="0"/>
        <v>197111.88435900002</v>
      </c>
      <c r="D11" s="585">
        <f t="shared" si="1"/>
        <v>198329.85381299997</v>
      </c>
      <c r="E11" s="584">
        <f t="shared" si="2"/>
        <v>225344.89071899999</v>
      </c>
      <c r="F11" s="585">
        <f t="shared" si="3"/>
        <v>216206.82006299999</v>
      </c>
      <c r="G11" s="584">
        <f t="shared" si="4"/>
        <v>230757.85211699997</v>
      </c>
      <c r="H11" s="584">
        <f t="shared" si="5"/>
        <v>221698.995375</v>
      </c>
      <c r="I11" s="584">
        <f t="shared" si="6"/>
        <v>229832.99562599999</v>
      </c>
      <c r="J11" s="585">
        <f t="shared" si="7"/>
        <v>228137.57666699999</v>
      </c>
      <c r="K11" s="584">
        <f t="shared" si="8"/>
        <v>217650.03050699999</v>
      </c>
      <c r="L11" s="585">
        <f t="shared" si="9"/>
        <v>229122.26161499997</v>
      </c>
      <c r="M11" s="584">
        <f t="shared" si="10"/>
        <v>220671.98715900001</v>
      </c>
      <c r="N11" s="584">
        <f t="shared" si="11"/>
        <v>162431.32698000001</v>
      </c>
      <c r="O11" s="587">
        <f t="shared" si="12"/>
        <v>2577296.4749999992</v>
      </c>
    </row>
    <row r="12" spans="1:15" x14ac:dyDescent="0.2">
      <c r="A12" s="557" t="s">
        <v>276</v>
      </c>
      <c r="B12" s="569">
        <v>3.2199999999999999E-2</v>
      </c>
      <c r="C12" s="584">
        <f t="shared" si="0"/>
        <v>95731.563746</v>
      </c>
      <c r="D12" s="585">
        <f t="shared" si="1"/>
        <v>96323.096421999988</v>
      </c>
      <c r="E12" s="584">
        <f t="shared" si="2"/>
        <v>109443.52158599999</v>
      </c>
      <c r="F12" s="585">
        <f t="shared" si="3"/>
        <v>105005.42392199999</v>
      </c>
      <c r="G12" s="584">
        <f t="shared" si="4"/>
        <v>112072.44099799999</v>
      </c>
      <c r="H12" s="584">
        <f t="shared" si="5"/>
        <v>107672.81525</v>
      </c>
      <c r="I12" s="584">
        <f t="shared" si="6"/>
        <v>111623.264844</v>
      </c>
      <c r="J12" s="585">
        <f t="shared" si="7"/>
        <v>110799.84869799999</v>
      </c>
      <c r="K12" s="584">
        <f t="shared" si="8"/>
        <v>105706.34965800001</v>
      </c>
      <c r="L12" s="585">
        <f t="shared" si="9"/>
        <v>111278.08180999999</v>
      </c>
      <c r="M12" s="584">
        <f t="shared" si="10"/>
        <v>107174.026946</v>
      </c>
      <c r="N12" s="584">
        <f t="shared" si="11"/>
        <v>78888.216119999997</v>
      </c>
      <c r="O12" s="587">
        <f t="shared" si="12"/>
        <v>1251718.6499999999</v>
      </c>
    </row>
    <row r="13" spans="1:15" x14ac:dyDescent="0.2">
      <c r="A13" s="557" t="s">
        <v>149</v>
      </c>
      <c r="B13" s="569">
        <v>1.11E-2</v>
      </c>
      <c r="C13" s="584">
        <f t="shared" si="0"/>
        <v>33000.632223000001</v>
      </c>
      <c r="D13" s="585">
        <f t="shared" si="1"/>
        <v>33204.545660999996</v>
      </c>
      <c r="E13" s="584">
        <f t="shared" si="2"/>
        <v>37727.425143</v>
      </c>
      <c r="F13" s="585">
        <f t="shared" si="3"/>
        <v>36197.521910999996</v>
      </c>
      <c r="G13" s="584">
        <f t="shared" si="4"/>
        <v>38633.667548999998</v>
      </c>
      <c r="H13" s="584">
        <f t="shared" si="5"/>
        <v>37117.026375000001</v>
      </c>
      <c r="I13" s="584">
        <f t="shared" si="6"/>
        <v>38478.827322000005</v>
      </c>
      <c r="J13" s="585">
        <f t="shared" si="7"/>
        <v>38194.978899000002</v>
      </c>
      <c r="K13" s="584">
        <f t="shared" si="8"/>
        <v>36439.145379000001</v>
      </c>
      <c r="L13" s="585">
        <f t="shared" si="9"/>
        <v>38359.835655000003</v>
      </c>
      <c r="M13" s="584">
        <f t="shared" si="10"/>
        <v>36945.083823000001</v>
      </c>
      <c r="N13" s="584">
        <f t="shared" si="11"/>
        <v>27194.385060000001</v>
      </c>
      <c r="O13" s="587">
        <f t="shared" si="12"/>
        <v>431493.07500000001</v>
      </c>
    </row>
    <row r="14" spans="1:15" x14ac:dyDescent="0.2">
      <c r="A14" s="557" t="s">
        <v>150</v>
      </c>
      <c r="B14" s="569">
        <v>2.7099999999999999E-2</v>
      </c>
      <c r="C14" s="584">
        <f t="shared" si="0"/>
        <v>80569.111103000003</v>
      </c>
      <c r="D14" s="585">
        <f t="shared" si="1"/>
        <v>81066.953820999988</v>
      </c>
      <c r="E14" s="584">
        <f t="shared" si="2"/>
        <v>92109.299222999995</v>
      </c>
      <c r="F14" s="585">
        <f t="shared" si="3"/>
        <v>88374.130070999992</v>
      </c>
      <c r="G14" s="584">
        <f t="shared" si="4"/>
        <v>94321.836988999989</v>
      </c>
      <c r="H14" s="584">
        <f t="shared" si="5"/>
        <v>90619.046374999991</v>
      </c>
      <c r="I14" s="584">
        <f t="shared" si="6"/>
        <v>93943.803641999999</v>
      </c>
      <c r="J14" s="585">
        <f t="shared" si="7"/>
        <v>93250.804338999995</v>
      </c>
      <c r="K14" s="584">
        <f t="shared" si="8"/>
        <v>88964.039619000003</v>
      </c>
      <c r="L14" s="585">
        <f t="shared" si="9"/>
        <v>93653.292454999988</v>
      </c>
      <c r="M14" s="584">
        <f t="shared" si="10"/>
        <v>90199.258703</v>
      </c>
      <c r="N14" s="584">
        <f t="shared" si="11"/>
        <v>66393.498659999997</v>
      </c>
      <c r="O14" s="587">
        <f t="shared" si="12"/>
        <v>1053465.075</v>
      </c>
    </row>
    <row r="15" spans="1:15" x14ac:dyDescent="0.2">
      <c r="A15" s="557" t="s">
        <v>151</v>
      </c>
      <c r="B15" s="569">
        <v>1.6899999999999998E-2</v>
      </c>
      <c r="C15" s="584">
        <f t="shared" si="0"/>
        <v>50244.205816999995</v>
      </c>
      <c r="D15" s="585">
        <f t="shared" si="1"/>
        <v>50554.668618999989</v>
      </c>
      <c r="E15" s="584">
        <f t="shared" si="2"/>
        <v>57440.854496999993</v>
      </c>
      <c r="F15" s="585">
        <f t="shared" si="3"/>
        <v>55111.542368999988</v>
      </c>
      <c r="G15" s="584">
        <f t="shared" si="4"/>
        <v>58820.628970999991</v>
      </c>
      <c r="H15" s="584">
        <f t="shared" si="5"/>
        <v>56511.508624999995</v>
      </c>
      <c r="I15" s="584">
        <f t="shared" si="6"/>
        <v>58584.881237999994</v>
      </c>
      <c r="J15" s="585">
        <f t="shared" si="7"/>
        <v>58152.715620999988</v>
      </c>
      <c r="K15" s="584">
        <f t="shared" si="8"/>
        <v>55479.419540999996</v>
      </c>
      <c r="L15" s="585">
        <f t="shared" si="9"/>
        <v>58403.713744999994</v>
      </c>
      <c r="M15" s="584">
        <f t="shared" si="10"/>
        <v>56249.722216999995</v>
      </c>
      <c r="N15" s="584">
        <f t="shared" si="11"/>
        <v>41404.063739999998</v>
      </c>
      <c r="O15" s="587">
        <f t="shared" si="12"/>
        <v>656957.92499999993</v>
      </c>
    </row>
    <row r="16" spans="1:15" x14ac:dyDescent="0.2">
      <c r="A16" s="557" t="s">
        <v>152</v>
      </c>
      <c r="B16" s="569">
        <v>1.2699999999999999E-2</v>
      </c>
      <c r="C16" s="584">
        <f t="shared" si="0"/>
        <v>37757.480110999997</v>
      </c>
      <c r="D16" s="585">
        <f t="shared" si="1"/>
        <v>37990.786476999994</v>
      </c>
      <c r="E16" s="584">
        <f t="shared" si="2"/>
        <v>43165.612550999998</v>
      </c>
      <c r="F16" s="585">
        <f t="shared" si="3"/>
        <v>41415.182726999992</v>
      </c>
      <c r="G16" s="584">
        <f t="shared" si="4"/>
        <v>44202.484492999996</v>
      </c>
      <c r="H16" s="584">
        <f t="shared" si="5"/>
        <v>42467.228374999999</v>
      </c>
      <c r="I16" s="584">
        <f t="shared" si="6"/>
        <v>44025.324953999996</v>
      </c>
      <c r="J16" s="585">
        <f t="shared" si="7"/>
        <v>43700.561442999999</v>
      </c>
      <c r="K16" s="584">
        <f t="shared" si="8"/>
        <v>41691.634803000001</v>
      </c>
      <c r="L16" s="585">
        <f t="shared" si="9"/>
        <v>43889.181334999994</v>
      </c>
      <c r="M16" s="584">
        <f t="shared" si="10"/>
        <v>42270.501311</v>
      </c>
      <c r="N16" s="584">
        <f t="shared" si="11"/>
        <v>31114.296419999999</v>
      </c>
      <c r="O16" s="587">
        <f t="shared" si="12"/>
        <v>493690.27500000002</v>
      </c>
    </row>
    <row r="17" spans="1:17" x14ac:dyDescent="0.2">
      <c r="A17" s="557" t="s">
        <v>153</v>
      </c>
      <c r="B17" s="569">
        <v>3.39E-2</v>
      </c>
      <c r="C17" s="584">
        <f t="shared" si="0"/>
        <v>100785.71462700001</v>
      </c>
      <c r="D17" s="585">
        <f t="shared" si="1"/>
        <v>101408.47728899999</v>
      </c>
      <c r="E17" s="584">
        <f t="shared" si="2"/>
        <v>115221.595707</v>
      </c>
      <c r="F17" s="585">
        <f t="shared" si="3"/>
        <v>110549.188539</v>
      </c>
      <c r="G17" s="584">
        <f t="shared" si="4"/>
        <v>117989.30900099999</v>
      </c>
      <c r="H17" s="584">
        <f t="shared" si="5"/>
        <v>113357.40487499999</v>
      </c>
      <c r="I17" s="584">
        <f t="shared" si="6"/>
        <v>117516.418578</v>
      </c>
      <c r="J17" s="585">
        <f t="shared" si="7"/>
        <v>116649.530151</v>
      </c>
      <c r="K17" s="584">
        <f t="shared" si="8"/>
        <v>111287.11967100001</v>
      </c>
      <c r="L17" s="585">
        <f t="shared" si="9"/>
        <v>117153.01159499999</v>
      </c>
      <c r="M17" s="584">
        <f t="shared" si="10"/>
        <v>112832.283027</v>
      </c>
      <c r="N17" s="584">
        <f t="shared" si="11"/>
        <v>83053.121939999997</v>
      </c>
      <c r="O17" s="587">
        <f t="shared" si="12"/>
        <v>1317803.175</v>
      </c>
    </row>
    <row r="18" spans="1:17" x14ac:dyDescent="0.2">
      <c r="A18" s="557" t="s">
        <v>154</v>
      </c>
      <c r="B18" s="569">
        <v>2.2100000000000002E-2</v>
      </c>
      <c r="C18" s="584">
        <f t="shared" si="0"/>
        <v>65703.961453000011</v>
      </c>
      <c r="D18" s="585">
        <f t="shared" si="1"/>
        <v>66109.951270999998</v>
      </c>
      <c r="E18" s="584">
        <f t="shared" si="2"/>
        <v>75114.963573000001</v>
      </c>
      <c r="F18" s="585">
        <f t="shared" si="3"/>
        <v>72068.940021000002</v>
      </c>
      <c r="G18" s="584">
        <f t="shared" si="4"/>
        <v>76919.284039000006</v>
      </c>
      <c r="H18" s="584">
        <f t="shared" si="5"/>
        <v>73899.665125</v>
      </c>
      <c r="I18" s="584">
        <f t="shared" si="6"/>
        <v>76610.998542000001</v>
      </c>
      <c r="J18" s="585">
        <f t="shared" si="7"/>
        <v>76045.858888999996</v>
      </c>
      <c r="K18" s="584">
        <f t="shared" si="8"/>
        <v>72550.010169000001</v>
      </c>
      <c r="L18" s="585">
        <f t="shared" si="9"/>
        <v>76374.087205000003</v>
      </c>
      <c r="M18" s="584">
        <f t="shared" si="10"/>
        <v>73557.329053000009</v>
      </c>
      <c r="N18" s="584">
        <f t="shared" si="11"/>
        <v>54143.775660000007</v>
      </c>
      <c r="O18" s="587">
        <f t="shared" si="12"/>
        <v>859098.82499999995</v>
      </c>
    </row>
    <row r="19" spans="1:17" x14ac:dyDescent="0.2">
      <c r="A19" s="557" t="s">
        <v>155</v>
      </c>
      <c r="B19" s="569">
        <v>3.95E-2</v>
      </c>
      <c r="C19" s="584">
        <f t="shared" si="0"/>
        <v>117434.68223500001</v>
      </c>
      <c r="D19" s="585">
        <f t="shared" si="1"/>
        <v>118160.32014499999</v>
      </c>
      <c r="E19" s="584">
        <f t="shared" si="2"/>
        <v>134255.25163499999</v>
      </c>
      <c r="F19" s="585">
        <f t="shared" si="3"/>
        <v>128811.001395</v>
      </c>
      <c r="G19" s="584">
        <f t="shared" si="4"/>
        <v>137480.168305</v>
      </c>
      <c r="H19" s="584">
        <f t="shared" si="5"/>
        <v>132083.111875</v>
      </c>
      <c r="I19" s="584">
        <f t="shared" si="6"/>
        <v>136929.16029</v>
      </c>
      <c r="J19" s="585">
        <f t="shared" si="7"/>
        <v>135919.069055</v>
      </c>
      <c r="K19" s="584">
        <f t="shared" si="8"/>
        <v>129670.83265500001</v>
      </c>
      <c r="L19" s="585">
        <f t="shared" si="9"/>
        <v>136505.721475</v>
      </c>
      <c r="M19" s="584">
        <f t="shared" si="10"/>
        <v>131471.24423500002</v>
      </c>
      <c r="N19" s="584">
        <f t="shared" si="11"/>
        <v>96772.811700000006</v>
      </c>
      <c r="O19" s="587">
        <f t="shared" si="12"/>
        <v>1535493.375</v>
      </c>
    </row>
    <row r="20" spans="1:17" x14ac:dyDescent="0.2">
      <c r="A20" s="557" t="s">
        <v>277</v>
      </c>
      <c r="B20" s="569">
        <v>7.4999999999999997E-3</v>
      </c>
      <c r="C20" s="584">
        <f t="shared" si="0"/>
        <v>22297.724474999999</v>
      </c>
      <c r="D20" s="585">
        <f t="shared" si="1"/>
        <v>22435.503824999996</v>
      </c>
      <c r="E20" s="584">
        <f t="shared" si="2"/>
        <v>25491.503474999998</v>
      </c>
      <c r="F20" s="585">
        <f t="shared" si="3"/>
        <v>24457.785074999996</v>
      </c>
      <c r="G20" s="584">
        <f t="shared" si="4"/>
        <v>26103.829424999996</v>
      </c>
      <c r="H20" s="584">
        <f t="shared" si="5"/>
        <v>25079.071874999998</v>
      </c>
      <c r="I20" s="584">
        <f t="shared" si="6"/>
        <v>25999.20765</v>
      </c>
      <c r="J20" s="585">
        <f t="shared" si="7"/>
        <v>25807.418174999999</v>
      </c>
      <c r="K20" s="584">
        <f t="shared" si="8"/>
        <v>24621.044174999999</v>
      </c>
      <c r="L20" s="585">
        <f t="shared" si="9"/>
        <v>25918.807874999999</v>
      </c>
      <c r="M20" s="584">
        <f t="shared" si="10"/>
        <v>24962.894475000001</v>
      </c>
      <c r="N20" s="584">
        <f t="shared" si="11"/>
        <v>18374.584500000001</v>
      </c>
      <c r="O20" s="587">
        <f t="shared" si="12"/>
        <v>291549.37499999994</v>
      </c>
    </row>
    <row r="21" spans="1:17" x14ac:dyDescent="0.2">
      <c r="A21" s="557" t="s">
        <v>278</v>
      </c>
      <c r="B21" s="569">
        <v>2.2800000000000001E-2</v>
      </c>
      <c r="C21" s="584">
        <f t="shared" si="0"/>
        <v>67785.082404000001</v>
      </c>
      <c r="D21" s="585">
        <f t="shared" si="1"/>
        <v>68203.931627999991</v>
      </c>
      <c r="E21" s="584">
        <f t="shared" si="2"/>
        <v>77494.170564</v>
      </c>
      <c r="F21" s="585">
        <f t="shared" si="3"/>
        <v>74351.666627999992</v>
      </c>
      <c r="G21" s="584">
        <f t="shared" si="4"/>
        <v>79355.641451999996</v>
      </c>
      <c r="H21" s="584">
        <f t="shared" si="5"/>
        <v>76240.378500000006</v>
      </c>
      <c r="I21" s="584">
        <f t="shared" si="6"/>
        <v>79037.591256</v>
      </c>
      <c r="J21" s="585">
        <f t="shared" si="7"/>
        <v>78454.551252000005</v>
      </c>
      <c r="K21" s="584">
        <f t="shared" si="8"/>
        <v>74847.974291999999</v>
      </c>
      <c r="L21" s="585">
        <f t="shared" si="9"/>
        <v>78793.175940000001</v>
      </c>
      <c r="M21" s="584">
        <f t="shared" si="10"/>
        <v>75887.199204000004</v>
      </c>
      <c r="N21" s="584">
        <f t="shared" si="11"/>
        <v>55858.736880000004</v>
      </c>
      <c r="O21" s="587">
        <f t="shared" si="12"/>
        <v>886310.09999999986</v>
      </c>
    </row>
    <row r="22" spans="1:17" x14ac:dyDescent="0.2">
      <c r="A22" s="557" t="s">
        <v>279</v>
      </c>
      <c r="B22" s="569">
        <v>8.8800000000000004E-2</v>
      </c>
      <c r="C22" s="584">
        <f t="shared" si="0"/>
        <v>264005.057784</v>
      </c>
      <c r="D22" s="585">
        <f t="shared" si="1"/>
        <v>265636.36528799997</v>
      </c>
      <c r="E22" s="584">
        <f t="shared" si="2"/>
        <v>301819.401144</v>
      </c>
      <c r="F22" s="585">
        <f t="shared" si="3"/>
        <v>289580.17528799997</v>
      </c>
      <c r="G22" s="584">
        <f t="shared" si="4"/>
        <v>309069.34039199998</v>
      </c>
      <c r="H22" s="584">
        <f t="shared" si="5"/>
        <v>296936.21100000001</v>
      </c>
      <c r="I22" s="584">
        <f t="shared" si="6"/>
        <v>307830.61857600004</v>
      </c>
      <c r="J22" s="585">
        <f t="shared" si="7"/>
        <v>305559.83119200001</v>
      </c>
      <c r="K22" s="584">
        <f t="shared" si="8"/>
        <v>291513.16303200001</v>
      </c>
      <c r="L22" s="585">
        <f t="shared" si="9"/>
        <v>306878.68524000002</v>
      </c>
      <c r="M22" s="584">
        <f t="shared" si="10"/>
        <v>295560.67058400001</v>
      </c>
      <c r="N22" s="584">
        <f t="shared" si="11"/>
        <v>217555.08048</v>
      </c>
      <c r="O22" s="587">
        <f t="shared" si="12"/>
        <v>3451944.6</v>
      </c>
    </row>
    <row r="23" spans="1:17" x14ac:dyDescent="0.2">
      <c r="A23" s="557" t="s">
        <v>159</v>
      </c>
      <c r="B23" s="569">
        <v>3.9199999999999999E-2</v>
      </c>
      <c r="C23" s="584">
        <f t="shared" si="0"/>
        <v>116542.773256</v>
      </c>
      <c r="D23" s="585">
        <f t="shared" si="1"/>
        <v>117262.89999199999</v>
      </c>
      <c r="E23" s="584">
        <f t="shared" si="2"/>
        <v>133235.59149599998</v>
      </c>
      <c r="F23" s="585">
        <f t="shared" si="3"/>
        <v>127832.68999199999</v>
      </c>
      <c r="G23" s="584">
        <f t="shared" si="4"/>
        <v>136436.015128</v>
      </c>
      <c r="H23" s="584">
        <f t="shared" si="5"/>
        <v>131079.94899999999</v>
      </c>
      <c r="I23" s="584">
        <f t="shared" si="6"/>
        <v>135889.191984</v>
      </c>
      <c r="J23" s="585">
        <f t="shared" si="7"/>
        <v>134886.77232799999</v>
      </c>
      <c r="K23" s="584">
        <f t="shared" si="8"/>
        <v>128685.990888</v>
      </c>
      <c r="L23" s="585">
        <f t="shared" si="9"/>
        <v>135468.96915999998</v>
      </c>
      <c r="M23" s="584">
        <f t="shared" si="10"/>
        <v>130472.728456</v>
      </c>
      <c r="N23" s="584">
        <f t="shared" si="11"/>
        <v>96037.828320000001</v>
      </c>
      <c r="O23" s="587">
        <f t="shared" si="12"/>
        <v>1523831.4</v>
      </c>
    </row>
    <row r="24" spans="1:17" x14ac:dyDescent="0.2">
      <c r="A24" s="557" t="s">
        <v>160</v>
      </c>
      <c r="B24" s="795">
        <v>0.35420000000000001</v>
      </c>
      <c r="C24" s="584">
        <f t="shared" si="0"/>
        <v>1053047.2012060001</v>
      </c>
      <c r="D24" s="585">
        <f t="shared" si="1"/>
        <v>1059554.0606420001</v>
      </c>
      <c r="E24" s="584">
        <f t="shared" si="2"/>
        <v>1203878.7374460001</v>
      </c>
      <c r="F24" s="585">
        <f t="shared" si="3"/>
        <v>1155059.6631419999</v>
      </c>
      <c r="G24" s="584">
        <f t="shared" si="4"/>
        <v>1232796.8509780001</v>
      </c>
      <c r="H24" s="584">
        <f t="shared" si="5"/>
        <v>1184400.9677500001</v>
      </c>
      <c r="I24" s="584">
        <f t="shared" si="6"/>
        <v>1227855.913284</v>
      </c>
      <c r="J24" s="585">
        <f t="shared" si="7"/>
        <v>1218798.335678</v>
      </c>
      <c r="K24" s="584">
        <f t="shared" si="8"/>
        <v>1162769.8462380001</v>
      </c>
      <c r="L24" s="585">
        <f t="shared" si="9"/>
        <v>1224058.8999099999</v>
      </c>
      <c r="M24" s="584">
        <f t="shared" si="10"/>
        <v>1178914.2964060002</v>
      </c>
      <c r="N24" s="584">
        <f t="shared" si="11"/>
        <v>867770.37732000009</v>
      </c>
      <c r="O24" s="587">
        <f t="shared" si="12"/>
        <v>13768905.15</v>
      </c>
      <c r="Q24" s="561"/>
    </row>
    <row r="25" spans="1:17" x14ac:dyDescent="0.2">
      <c r="A25" s="557" t="s">
        <v>161</v>
      </c>
      <c r="B25" s="795">
        <v>0.03</v>
      </c>
      <c r="C25" s="584">
        <f t="shared" si="0"/>
        <v>89190.897899999996</v>
      </c>
      <c r="D25" s="585">
        <f t="shared" si="1"/>
        <v>89742.015299999985</v>
      </c>
      <c r="E25" s="584">
        <f t="shared" si="2"/>
        <v>101966.01389999999</v>
      </c>
      <c r="F25" s="585">
        <f t="shared" si="3"/>
        <v>97831.140299999985</v>
      </c>
      <c r="G25" s="584">
        <f t="shared" si="4"/>
        <v>104415.31769999999</v>
      </c>
      <c r="H25" s="584">
        <f t="shared" si="5"/>
        <v>100316.28749999999</v>
      </c>
      <c r="I25" s="584">
        <f t="shared" si="6"/>
        <v>103996.8306</v>
      </c>
      <c r="J25" s="585">
        <f t="shared" si="7"/>
        <v>103229.6727</v>
      </c>
      <c r="K25" s="584">
        <f t="shared" si="8"/>
        <v>98484.176699999996</v>
      </c>
      <c r="L25" s="585">
        <f t="shared" si="9"/>
        <v>103675.23149999999</v>
      </c>
      <c r="M25" s="584">
        <f t="shared" si="10"/>
        <v>99851.577900000004</v>
      </c>
      <c r="N25" s="584">
        <f t="shared" si="11"/>
        <v>73498.338000000003</v>
      </c>
      <c r="O25" s="587">
        <f t="shared" si="12"/>
        <v>1166197.4999999998</v>
      </c>
      <c r="Q25" s="561"/>
    </row>
    <row r="26" spans="1:17" ht="13.5" thickBot="1" x14ac:dyDescent="0.25">
      <c r="A26" s="557" t="s">
        <v>162</v>
      </c>
      <c r="B26" s="570">
        <v>4.5199999999999997E-2</v>
      </c>
      <c r="C26" s="584">
        <f t="shared" si="0"/>
        <v>134380.95283600001</v>
      </c>
      <c r="D26" s="585">
        <f t="shared" si="1"/>
        <v>135211.30305199997</v>
      </c>
      <c r="E26" s="584">
        <f t="shared" si="2"/>
        <v>153628.79427599997</v>
      </c>
      <c r="F26" s="585">
        <f t="shared" si="3"/>
        <v>147398.91805199999</v>
      </c>
      <c r="G26" s="584">
        <f t="shared" si="4"/>
        <v>157319.07866799997</v>
      </c>
      <c r="H26" s="584">
        <f t="shared" si="5"/>
        <v>151143.2065</v>
      </c>
      <c r="I26" s="590">
        <f t="shared" si="6"/>
        <v>156688.558104</v>
      </c>
      <c r="J26" s="585">
        <f t="shared" si="7"/>
        <v>155532.70686799998</v>
      </c>
      <c r="K26" s="584">
        <f t="shared" si="8"/>
        <v>148382.82622799999</v>
      </c>
      <c r="L26" s="585">
        <f t="shared" si="9"/>
        <v>156204.01546</v>
      </c>
      <c r="M26" s="584">
        <f t="shared" si="10"/>
        <v>150443.04403600001</v>
      </c>
      <c r="N26" s="584">
        <f t="shared" si="11"/>
        <v>110737.49592</v>
      </c>
      <c r="O26" s="587">
        <f t="shared" si="12"/>
        <v>1757070.9</v>
      </c>
    </row>
    <row r="27" spans="1:17" ht="13.5" thickBot="1" x14ac:dyDescent="0.25">
      <c r="A27" s="562" t="s">
        <v>280</v>
      </c>
      <c r="B27" s="563">
        <f t="shared" ref="B27:O27" si="13">SUM(B7:B26)</f>
        <v>1</v>
      </c>
      <c r="C27" s="592">
        <f>'X22.55 POE'!B50</f>
        <v>2973029.93</v>
      </c>
      <c r="D27" s="592">
        <f>'X22.55 POE'!C50</f>
        <v>2991400.51</v>
      </c>
      <c r="E27" s="592">
        <f>'X22.55 POE'!D50</f>
        <v>3398867.13</v>
      </c>
      <c r="F27" s="592">
        <f>'X22.55 POE'!E50</f>
        <v>3261038.01</v>
      </c>
      <c r="G27" s="592">
        <f>'X22.55 POE'!F50</f>
        <v>3480510.59</v>
      </c>
      <c r="H27" s="592">
        <f>'X22.55 POE'!G50</f>
        <v>3343876.25</v>
      </c>
      <c r="I27" s="592">
        <f>'X22.55 POE'!H50</f>
        <v>3466561.02</v>
      </c>
      <c r="J27" s="592">
        <f>'X22.55 POE'!I50</f>
        <v>3440989.09</v>
      </c>
      <c r="K27" s="592">
        <f>'X22.55 POE'!J50</f>
        <v>3282805.89</v>
      </c>
      <c r="L27" s="592">
        <f>'X22.55 POE'!K50</f>
        <v>3455841.05</v>
      </c>
      <c r="M27" s="592">
        <f>'X22.55 POE'!L50</f>
        <v>3328385.93</v>
      </c>
      <c r="N27" s="592">
        <f>'X22.55 POE'!M50</f>
        <v>2449944.6</v>
      </c>
      <c r="O27" s="592">
        <f t="shared" si="13"/>
        <v>38873250</v>
      </c>
    </row>
    <row r="28" spans="1:17" x14ac:dyDescent="0.2">
      <c r="A28" s="565"/>
      <c r="B28" s="565"/>
      <c r="C28" s="565"/>
      <c r="D28" s="565"/>
      <c r="E28" s="565"/>
      <c r="F28" s="565"/>
      <c r="G28" s="565"/>
      <c r="H28" s="565"/>
      <c r="I28" s="565"/>
      <c r="J28" s="565"/>
      <c r="K28" s="565"/>
      <c r="L28" s="565"/>
      <c r="M28" s="565"/>
      <c r="N28" s="565"/>
      <c r="O28" s="565"/>
    </row>
    <row r="29" spans="1:17" x14ac:dyDescent="0.2">
      <c r="A29" s="566"/>
    </row>
    <row r="30" spans="1:17" x14ac:dyDescent="0.2">
      <c r="A30" s="552" t="s">
        <v>316</v>
      </c>
      <c r="C30" s="561">
        <f>'X22.55 POE'!B52</f>
        <v>5678340.2999999998</v>
      </c>
      <c r="D30" s="561">
        <f>'X22.55 POE'!C52</f>
        <v>6243205.7250000006</v>
      </c>
      <c r="E30" s="561">
        <f>'X22.55 POE'!D52</f>
        <v>6078405.1500000004</v>
      </c>
      <c r="F30" s="561">
        <f>'X22.55 POE'!E52</f>
        <v>5663807.0999999996</v>
      </c>
      <c r="G30" s="561">
        <f>'X22.55 POE'!F52</f>
        <v>6240705.9750000006</v>
      </c>
      <c r="H30" s="561">
        <f>'X22.55 POE'!G52</f>
        <v>6023022.75</v>
      </c>
      <c r="I30" s="561">
        <f>'X22.55 POE'!H52</f>
        <v>6148594.3500000006</v>
      </c>
      <c r="J30" s="561">
        <f>'X22.55 POE'!I52</f>
        <v>6144940.7999999998</v>
      </c>
      <c r="K30" s="561">
        <f>'X22.55 POE'!J52</f>
        <v>6394545.6749999998</v>
      </c>
      <c r="L30" s="561">
        <f>'X22.55 POE'!K52</f>
        <v>6338394.2250000006</v>
      </c>
      <c r="M30" s="561">
        <f>'X22.55 POE'!L52</f>
        <v>5923796.1749999998</v>
      </c>
      <c r="N30" s="561">
        <f>'X22.55 POE'!M52</f>
        <v>6117249.6000000006</v>
      </c>
      <c r="O30" s="561">
        <f>SUM(C30:N30)</f>
        <v>72995007.824999988</v>
      </c>
    </row>
    <row r="31" spans="1:17" x14ac:dyDescent="0.2">
      <c r="A31" s="552" t="s">
        <v>309</v>
      </c>
      <c r="C31" s="561">
        <f>C30-C27</f>
        <v>2705310.3699999996</v>
      </c>
      <c r="D31" s="561">
        <f t="shared" ref="D31:O31" si="14">D30-D27</f>
        <v>3251805.2150000008</v>
      </c>
      <c r="E31" s="561">
        <f t="shared" si="14"/>
        <v>2679538.0200000005</v>
      </c>
      <c r="F31" s="561">
        <f t="shared" si="14"/>
        <v>2402769.09</v>
      </c>
      <c r="G31" s="561">
        <f t="shared" si="14"/>
        <v>2760195.3850000007</v>
      </c>
      <c r="H31" s="561">
        <f t="shared" si="14"/>
        <v>2679146.5</v>
      </c>
      <c r="I31" s="561">
        <f t="shared" si="14"/>
        <v>2682033.3300000005</v>
      </c>
      <c r="J31" s="561">
        <f t="shared" si="14"/>
        <v>2703951.71</v>
      </c>
      <c r="K31" s="561">
        <f t="shared" si="14"/>
        <v>3111739.7849999997</v>
      </c>
      <c r="L31" s="561">
        <f t="shared" si="14"/>
        <v>2882553.1750000007</v>
      </c>
      <c r="M31" s="561">
        <f t="shared" si="14"/>
        <v>2595410.2449999996</v>
      </c>
      <c r="N31" s="561">
        <f t="shared" si="14"/>
        <v>3667305.0000000005</v>
      </c>
      <c r="O31" s="561">
        <f t="shared" si="14"/>
        <v>34121757.824999988</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workbookViewId="0">
      <selection activeCell="B7" sqref="B7"/>
    </sheetView>
  </sheetViews>
  <sheetFormatPr baseColWidth="10" defaultRowHeight="12.75" x14ac:dyDescent="0.2"/>
  <cols>
    <col min="1" max="1" width="16.85546875" style="552" customWidth="1"/>
    <col min="2" max="2" width="9.28515625" style="552" bestFit="1" customWidth="1"/>
    <col min="3" max="5" width="11.7109375" style="552" bestFit="1" customWidth="1"/>
    <col min="6" max="6" width="10.140625" style="552" bestFit="1" customWidth="1"/>
    <col min="7" max="8" width="11.7109375" style="552" bestFit="1" customWidth="1"/>
    <col min="9" max="10" width="11.85546875" style="552" bestFit="1" customWidth="1"/>
    <col min="11" max="11" width="10.140625" style="552" bestFit="1" customWidth="1"/>
    <col min="12" max="14" width="11.85546875" style="552" bestFit="1" customWidth="1"/>
    <col min="15" max="15" width="13.140625"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366</v>
      </c>
      <c r="B4" s="1215"/>
      <c r="C4" s="1215"/>
      <c r="D4" s="1215"/>
      <c r="E4" s="1215"/>
      <c r="F4" s="1215"/>
      <c r="G4" s="1215"/>
      <c r="H4" s="1215"/>
      <c r="I4" s="1215"/>
      <c r="J4" s="1215"/>
      <c r="K4" s="1215"/>
      <c r="L4" s="1215"/>
      <c r="M4" s="1215"/>
      <c r="N4" s="1215"/>
      <c r="O4" s="1215"/>
    </row>
    <row r="5" spans="1:15" ht="13.5" thickBot="1" x14ac:dyDescent="0.25">
      <c r="A5" s="794"/>
      <c r="B5" s="794"/>
      <c r="C5" s="794"/>
      <c r="D5" s="794"/>
      <c r="E5" s="794"/>
      <c r="F5" s="794"/>
      <c r="G5" s="794"/>
      <c r="H5" s="794"/>
      <c r="I5" s="794"/>
      <c r="J5" s="794"/>
      <c r="K5" s="794"/>
      <c r="L5" s="794"/>
      <c r="M5" s="794"/>
      <c r="N5" s="794"/>
      <c r="O5" s="794"/>
    </row>
    <row r="6" spans="1:15" ht="34.5" thickBot="1" x14ac:dyDescent="0.25">
      <c r="A6" s="553" t="s">
        <v>305</v>
      </c>
      <c r="B6" s="554" t="s">
        <v>479</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791">
        <v>5</v>
      </c>
      <c r="C7" s="584">
        <f>$C$27*B7/100</f>
        <v>53620.751083686861</v>
      </c>
      <c r="D7" s="585">
        <f>$D$27*B7/100</f>
        <v>177504.5369263851</v>
      </c>
      <c r="E7" s="584">
        <f>$E$27*B7/100</f>
        <v>43717.215119492255</v>
      </c>
      <c r="F7" s="585">
        <f>$F$27*B7/100</f>
        <v>30046.659489774276</v>
      </c>
      <c r="G7" s="584">
        <f>$G$27*B7/100</f>
        <v>46205.175493924035</v>
      </c>
      <c r="H7" s="584">
        <f>$H$27*B7/100</f>
        <v>47223.470458239579</v>
      </c>
      <c r="I7" s="586">
        <f>$I$27*B7/100</f>
        <v>49797.558755844373</v>
      </c>
      <c r="J7" s="585">
        <f>$J$27*B7/100</f>
        <v>61286.065555809822</v>
      </c>
      <c r="K7" s="584">
        <f>$K$27*B7/100</f>
        <v>64548.047608085777</v>
      </c>
      <c r="L7" s="585">
        <f>$L$27*B7/100</f>
        <v>64835.27762833544</v>
      </c>
      <c r="M7" s="584">
        <f>$M$27*B7/100</f>
        <v>61916.891251758396</v>
      </c>
      <c r="N7" s="584">
        <f>$N$27*B7/100</f>
        <v>61364.373128663923</v>
      </c>
      <c r="O7" s="587">
        <f>SUM(C7:N7)</f>
        <v>762066.02249999973</v>
      </c>
    </row>
    <row r="8" spans="1:15" x14ac:dyDescent="0.2">
      <c r="A8" s="557" t="s">
        <v>144</v>
      </c>
      <c r="B8" s="792">
        <v>5</v>
      </c>
      <c r="C8" s="584">
        <f t="shared" ref="C8:C26" si="0">$C$27*B8/100</f>
        <v>53620.751083686861</v>
      </c>
      <c r="D8" s="585">
        <f t="shared" ref="D8:D26" si="1">$D$27*B8/100</f>
        <v>177504.5369263851</v>
      </c>
      <c r="E8" s="584">
        <f t="shared" ref="E8:E26" si="2">$E$27*B8/100</f>
        <v>43717.215119492255</v>
      </c>
      <c r="F8" s="585">
        <f t="shared" ref="F8:F26" si="3">$F$27*B8/100</f>
        <v>30046.659489774276</v>
      </c>
      <c r="G8" s="584">
        <f t="shared" ref="G8:G26" si="4">$G$27*B8/100</f>
        <v>46205.175493924035</v>
      </c>
      <c r="H8" s="584">
        <f t="shared" ref="H8:H26" si="5">$H$27*B8/100</f>
        <v>47223.470458239579</v>
      </c>
      <c r="I8" s="584">
        <f t="shared" ref="I8:I26" si="6">$I$27*B8/100</f>
        <v>49797.558755844373</v>
      </c>
      <c r="J8" s="585">
        <f t="shared" ref="J8:J26" si="7">$J$27*B8/100</f>
        <v>61286.065555809822</v>
      </c>
      <c r="K8" s="584">
        <f t="shared" ref="K8:K26" si="8">$K$27*B8/100</f>
        <v>64548.047608085777</v>
      </c>
      <c r="L8" s="585">
        <f t="shared" ref="L8:L26" si="9">$L$27*B8/100</f>
        <v>64835.27762833544</v>
      </c>
      <c r="M8" s="584">
        <f t="shared" ref="M8:M26" si="10">$M$27*B8/100</f>
        <v>61916.891251758396</v>
      </c>
      <c r="N8" s="584">
        <f t="shared" ref="N8:N26" si="11">$N$27*B8/100</f>
        <v>61364.373128663923</v>
      </c>
      <c r="O8" s="587">
        <f t="shared" ref="O8:O26" si="12">SUM(C8:N8)</f>
        <v>762066.02249999973</v>
      </c>
    </row>
    <row r="9" spans="1:15" x14ac:dyDescent="0.2">
      <c r="A9" s="557" t="s">
        <v>145</v>
      </c>
      <c r="B9" s="792">
        <v>5</v>
      </c>
      <c r="C9" s="584">
        <f t="shared" si="0"/>
        <v>53620.751083686861</v>
      </c>
      <c r="D9" s="585">
        <f t="shared" si="1"/>
        <v>177504.5369263851</v>
      </c>
      <c r="E9" s="584">
        <f t="shared" si="2"/>
        <v>43717.215119492255</v>
      </c>
      <c r="F9" s="585">
        <f t="shared" si="3"/>
        <v>30046.659489774276</v>
      </c>
      <c r="G9" s="584">
        <f t="shared" si="4"/>
        <v>46205.175493924035</v>
      </c>
      <c r="H9" s="584">
        <f t="shared" si="5"/>
        <v>47223.470458239579</v>
      </c>
      <c r="I9" s="584">
        <f t="shared" si="6"/>
        <v>49797.558755844373</v>
      </c>
      <c r="J9" s="585">
        <f t="shared" si="7"/>
        <v>61286.065555809822</v>
      </c>
      <c r="K9" s="584">
        <f t="shared" si="8"/>
        <v>64548.047608085777</v>
      </c>
      <c r="L9" s="585">
        <f t="shared" si="9"/>
        <v>64835.27762833544</v>
      </c>
      <c r="M9" s="584">
        <f t="shared" si="10"/>
        <v>61916.891251758396</v>
      </c>
      <c r="N9" s="584">
        <f t="shared" si="11"/>
        <v>61364.373128663923</v>
      </c>
      <c r="O9" s="587">
        <f t="shared" si="12"/>
        <v>762066.02249999973</v>
      </c>
    </row>
    <row r="10" spans="1:15" x14ac:dyDescent="0.2">
      <c r="A10" s="557" t="s">
        <v>275</v>
      </c>
      <c r="B10" s="792">
        <v>5</v>
      </c>
      <c r="C10" s="584">
        <f t="shared" si="0"/>
        <v>53620.751083686861</v>
      </c>
      <c r="D10" s="585">
        <f t="shared" si="1"/>
        <v>177504.5369263851</v>
      </c>
      <c r="E10" s="584">
        <f t="shared" si="2"/>
        <v>43717.215119492255</v>
      </c>
      <c r="F10" s="585">
        <f t="shared" si="3"/>
        <v>30046.659489774276</v>
      </c>
      <c r="G10" s="584">
        <f t="shared" si="4"/>
        <v>46205.175493924035</v>
      </c>
      <c r="H10" s="584">
        <f t="shared" si="5"/>
        <v>47223.470458239579</v>
      </c>
      <c r="I10" s="584">
        <f t="shared" si="6"/>
        <v>49797.558755844373</v>
      </c>
      <c r="J10" s="585">
        <f t="shared" si="7"/>
        <v>61286.065555809822</v>
      </c>
      <c r="K10" s="584">
        <f t="shared" si="8"/>
        <v>64548.047608085777</v>
      </c>
      <c r="L10" s="585">
        <f t="shared" si="9"/>
        <v>64835.27762833544</v>
      </c>
      <c r="M10" s="584">
        <f t="shared" si="10"/>
        <v>61916.891251758396</v>
      </c>
      <c r="N10" s="584">
        <f t="shared" si="11"/>
        <v>61364.373128663923</v>
      </c>
      <c r="O10" s="587">
        <f t="shared" si="12"/>
        <v>762066.02249999973</v>
      </c>
    </row>
    <row r="11" spans="1:15" x14ac:dyDescent="0.2">
      <c r="A11" s="557" t="s">
        <v>147</v>
      </c>
      <c r="B11" s="792">
        <v>5</v>
      </c>
      <c r="C11" s="584">
        <f t="shared" si="0"/>
        <v>53620.751083686861</v>
      </c>
      <c r="D11" s="585">
        <f t="shared" si="1"/>
        <v>177504.5369263851</v>
      </c>
      <c r="E11" s="584">
        <f t="shared" si="2"/>
        <v>43717.215119492255</v>
      </c>
      <c r="F11" s="585">
        <f t="shared" si="3"/>
        <v>30046.659489774276</v>
      </c>
      <c r="G11" s="584">
        <f t="shared" si="4"/>
        <v>46205.175493924035</v>
      </c>
      <c r="H11" s="584">
        <f t="shared" si="5"/>
        <v>47223.470458239579</v>
      </c>
      <c r="I11" s="584">
        <f t="shared" si="6"/>
        <v>49797.558755844373</v>
      </c>
      <c r="J11" s="585">
        <f t="shared" si="7"/>
        <v>61286.065555809822</v>
      </c>
      <c r="K11" s="584">
        <f t="shared" si="8"/>
        <v>64548.047608085777</v>
      </c>
      <c r="L11" s="585">
        <f t="shared" si="9"/>
        <v>64835.27762833544</v>
      </c>
      <c r="M11" s="584">
        <f t="shared" si="10"/>
        <v>61916.891251758396</v>
      </c>
      <c r="N11" s="584">
        <f t="shared" si="11"/>
        <v>61364.373128663923</v>
      </c>
      <c r="O11" s="587">
        <f t="shared" si="12"/>
        <v>762066.02249999973</v>
      </c>
    </row>
    <row r="12" spans="1:15" x14ac:dyDescent="0.2">
      <c r="A12" s="557" t="s">
        <v>276</v>
      </c>
      <c r="B12" s="792">
        <v>5</v>
      </c>
      <c r="C12" s="584">
        <f t="shared" si="0"/>
        <v>53620.751083686861</v>
      </c>
      <c r="D12" s="585">
        <f t="shared" si="1"/>
        <v>177504.5369263851</v>
      </c>
      <c r="E12" s="584">
        <f t="shared" si="2"/>
        <v>43717.215119492255</v>
      </c>
      <c r="F12" s="585">
        <f t="shared" si="3"/>
        <v>30046.659489774276</v>
      </c>
      <c r="G12" s="584">
        <f t="shared" si="4"/>
        <v>46205.175493924035</v>
      </c>
      <c r="H12" s="584">
        <f t="shared" si="5"/>
        <v>47223.470458239579</v>
      </c>
      <c r="I12" s="584">
        <f t="shared" si="6"/>
        <v>49797.558755844373</v>
      </c>
      <c r="J12" s="585">
        <f t="shared" si="7"/>
        <v>61286.065555809822</v>
      </c>
      <c r="K12" s="584">
        <f t="shared" si="8"/>
        <v>64548.047608085777</v>
      </c>
      <c r="L12" s="585">
        <f t="shared" si="9"/>
        <v>64835.27762833544</v>
      </c>
      <c r="M12" s="584">
        <f t="shared" si="10"/>
        <v>61916.891251758396</v>
      </c>
      <c r="N12" s="584">
        <f t="shared" si="11"/>
        <v>61364.373128663923</v>
      </c>
      <c r="O12" s="587">
        <f t="shared" si="12"/>
        <v>762066.02249999973</v>
      </c>
    </row>
    <row r="13" spans="1:15" x14ac:dyDescent="0.2">
      <c r="A13" s="557" t="s">
        <v>149</v>
      </c>
      <c r="B13" s="792">
        <v>5</v>
      </c>
      <c r="C13" s="584">
        <f t="shared" si="0"/>
        <v>53620.751083686861</v>
      </c>
      <c r="D13" s="585">
        <f t="shared" si="1"/>
        <v>177504.5369263851</v>
      </c>
      <c r="E13" s="584">
        <f t="shared" si="2"/>
        <v>43717.215119492255</v>
      </c>
      <c r="F13" s="585">
        <f t="shared" si="3"/>
        <v>30046.659489774276</v>
      </c>
      <c r="G13" s="584">
        <f t="shared" si="4"/>
        <v>46205.175493924035</v>
      </c>
      <c r="H13" s="584">
        <f t="shared" si="5"/>
        <v>47223.470458239579</v>
      </c>
      <c r="I13" s="584">
        <f t="shared" si="6"/>
        <v>49797.558755844373</v>
      </c>
      <c r="J13" s="585">
        <f t="shared" si="7"/>
        <v>61286.065555809822</v>
      </c>
      <c r="K13" s="584">
        <f t="shared" si="8"/>
        <v>64548.047608085777</v>
      </c>
      <c r="L13" s="585">
        <f t="shared" si="9"/>
        <v>64835.27762833544</v>
      </c>
      <c r="M13" s="584">
        <f t="shared" si="10"/>
        <v>61916.891251758396</v>
      </c>
      <c r="N13" s="584">
        <f t="shared" si="11"/>
        <v>61364.373128663923</v>
      </c>
      <c r="O13" s="587">
        <f t="shared" si="12"/>
        <v>762066.02249999973</v>
      </c>
    </row>
    <row r="14" spans="1:15" x14ac:dyDescent="0.2">
      <c r="A14" s="557" t="s">
        <v>150</v>
      </c>
      <c r="B14" s="792">
        <v>5</v>
      </c>
      <c r="C14" s="584">
        <f t="shared" si="0"/>
        <v>53620.751083686861</v>
      </c>
      <c r="D14" s="585">
        <f t="shared" si="1"/>
        <v>177504.5369263851</v>
      </c>
      <c r="E14" s="584">
        <f t="shared" si="2"/>
        <v>43717.215119492255</v>
      </c>
      <c r="F14" s="585">
        <f t="shared" si="3"/>
        <v>30046.659489774276</v>
      </c>
      <c r="G14" s="584">
        <f t="shared" si="4"/>
        <v>46205.175493924035</v>
      </c>
      <c r="H14" s="584">
        <f t="shared" si="5"/>
        <v>47223.470458239579</v>
      </c>
      <c r="I14" s="584">
        <f t="shared" si="6"/>
        <v>49797.558755844373</v>
      </c>
      <c r="J14" s="585">
        <f t="shared" si="7"/>
        <v>61286.065555809822</v>
      </c>
      <c r="K14" s="584">
        <f t="shared" si="8"/>
        <v>64548.047608085777</v>
      </c>
      <c r="L14" s="585">
        <f t="shared" si="9"/>
        <v>64835.27762833544</v>
      </c>
      <c r="M14" s="584">
        <f t="shared" si="10"/>
        <v>61916.891251758396</v>
      </c>
      <c r="N14" s="584">
        <f t="shared" si="11"/>
        <v>61364.373128663923</v>
      </c>
      <c r="O14" s="587">
        <f t="shared" si="12"/>
        <v>762066.02249999973</v>
      </c>
    </row>
    <row r="15" spans="1:15" x14ac:dyDescent="0.2">
      <c r="A15" s="557" t="s">
        <v>151</v>
      </c>
      <c r="B15" s="792">
        <v>5</v>
      </c>
      <c r="C15" s="584">
        <f t="shared" si="0"/>
        <v>53620.751083686861</v>
      </c>
      <c r="D15" s="585">
        <f t="shared" si="1"/>
        <v>177504.5369263851</v>
      </c>
      <c r="E15" s="584">
        <f t="shared" si="2"/>
        <v>43717.215119492255</v>
      </c>
      <c r="F15" s="585">
        <f t="shared" si="3"/>
        <v>30046.659489774276</v>
      </c>
      <c r="G15" s="584">
        <f t="shared" si="4"/>
        <v>46205.175493924035</v>
      </c>
      <c r="H15" s="584">
        <f t="shared" si="5"/>
        <v>47223.470458239579</v>
      </c>
      <c r="I15" s="584">
        <f t="shared" si="6"/>
        <v>49797.558755844373</v>
      </c>
      <c r="J15" s="585">
        <f t="shared" si="7"/>
        <v>61286.065555809822</v>
      </c>
      <c r="K15" s="584">
        <f t="shared" si="8"/>
        <v>64548.047608085777</v>
      </c>
      <c r="L15" s="585">
        <f t="shared" si="9"/>
        <v>64835.27762833544</v>
      </c>
      <c r="M15" s="584">
        <f t="shared" si="10"/>
        <v>61916.891251758396</v>
      </c>
      <c r="N15" s="584">
        <f t="shared" si="11"/>
        <v>61364.373128663923</v>
      </c>
      <c r="O15" s="587">
        <f t="shared" si="12"/>
        <v>762066.02249999973</v>
      </c>
    </row>
    <row r="16" spans="1:15" x14ac:dyDescent="0.2">
      <c r="A16" s="557" t="s">
        <v>152</v>
      </c>
      <c r="B16" s="792">
        <v>5</v>
      </c>
      <c r="C16" s="584">
        <f t="shared" si="0"/>
        <v>53620.751083686861</v>
      </c>
      <c r="D16" s="585">
        <f t="shared" si="1"/>
        <v>177504.5369263851</v>
      </c>
      <c r="E16" s="584">
        <f t="shared" si="2"/>
        <v>43717.215119492255</v>
      </c>
      <c r="F16" s="585">
        <f t="shared" si="3"/>
        <v>30046.659489774276</v>
      </c>
      <c r="G16" s="584">
        <f t="shared" si="4"/>
        <v>46205.175493924035</v>
      </c>
      <c r="H16" s="584">
        <f t="shared" si="5"/>
        <v>47223.470458239579</v>
      </c>
      <c r="I16" s="584">
        <f t="shared" si="6"/>
        <v>49797.558755844373</v>
      </c>
      <c r="J16" s="585">
        <f t="shared" si="7"/>
        <v>61286.065555809822</v>
      </c>
      <c r="K16" s="584">
        <f t="shared" si="8"/>
        <v>64548.047608085777</v>
      </c>
      <c r="L16" s="585">
        <f t="shared" si="9"/>
        <v>64835.27762833544</v>
      </c>
      <c r="M16" s="584">
        <f t="shared" si="10"/>
        <v>61916.891251758396</v>
      </c>
      <c r="N16" s="584">
        <f t="shared" si="11"/>
        <v>61364.373128663923</v>
      </c>
      <c r="O16" s="587">
        <f t="shared" si="12"/>
        <v>762066.02249999973</v>
      </c>
    </row>
    <row r="17" spans="1:15" x14ac:dyDescent="0.2">
      <c r="A17" s="557" t="s">
        <v>153</v>
      </c>
      <c r="B17" s="792">
        <v>5</v>
      </c>
      <c r="C17" s="584">
        <f t="shared" si="0"/>
        <v>53620.751083686861</v>
      </c>
      <c r="D17" s="585">
        <f t="shared" si="1"/>
        <v>177504.5369263851</v>
      </c>
      <c r="E17" s="584">
        <f t="shared" si="2"/>
        <v>43717.215119492255</v>
      </c>
      <c r="F17" s="585">
        <f t="shared" si="3"/>
        <v>30046.659489774276</v>
      </c>
      <c r="G17" s="584">
        <f t="shared" si="4"/>
        <v>46205.175493924035</v>
      </c>
      <c r="H17" s="584">
        <f t="shared" si="5"/>
        <v>47223.470458239579</v>
      </c>
      <c r="I17" s="584">
        <f t="shared" si="6"/>
        <v>49797.558755844373</v>
      </c>
      <c r="J17" s="585">
        <f t="shared" si="7"/>
        <v>61286.065555809822</v>
      </c>
      <c r="K17" s="584">
        <f t="shared" si="8"/>
        <v>64548.047608085777</v>
      </c>
      <c r="L17" s="585">
        <f t="shared" si="9"/>
        <v>64835.27762833544</v>
      </c>
      <c r="M17" s="584">
        <f t="shared" si="10"/>
        <v>61916.891251758396</v>
      </c>
      <c r="N17" s="584">
        <f t="shared" si="11"/>
        <v>61364.373128663923</v>
      </c>
      <c r="O17" s="587">
        <f t="shared" si="12"/>
        <v>762066.02249999973</v>
      </c>
    </row>
    <row r="18" spans="1:15" x14ac:dyDescent="0.2">
      <c r="A18" s="557" t="s">
        <v>154</v>
      </c>
      <c r="B18" s="792">
        <v>5</v>
      </c>
      <c r="C18" s="584">
        <f t="shared" si="0"/>
        <v>53620.751083686861</v>
      </c>
      <c r="D18" s="585">
        <f t="shared" si="1"/>
        <v>177504.5369263851</v>
      </c>
      <c r="E18" s="584">
        <f t="shared" si="2"/>
        <v>43717.215119492255</v>
      </c>
      <c r="F18" s="585">
        <f t="shared" si="3"/>
        <v>30046.659489774276</v>
      </c>
      <c r="G18" s="584">
        <f t="shared" si="4"/>
        <v>46205.175493924035</v>
      </c>
      <c r="H18" s="584">
        <f t="shared" si="5"/>
        <v>47223.470458239579</v>
      </c>
      <c r="I18" s="584">
        <f t="shared" si="6"/>
        <v>49797.558755844373</v>
      </c>
      <c r="J18" s="585">
        <f t="shared" si="7"/>
        <v>61286.065555809822</v>
      </c>
      <c r="K18" s="584">
        <f t="shared" si="8"/>
        <v>64548.047608085777</v>
      </c>
      <c r="L18" s="585">
        <f t="shared" si="9"/>
        <v>64835.27762833544</v>
      </c>
      <c r="M18" s="584">
        <f t="shared" si="10"/>
        <v>61916.891251758396</v>
      </c>
      <c r="N18" s="584">
        <f t="shared" si="11"/>
        <v>61364.373128663923</v>
      </c>
      <c r="O18" s="587">
        <f t="shared" si="12"/>
        <v>762066.02249999973</v>
      </c>
    </row>
    <row r="19" spans="1:15" x14ac:dyDescent="0.2">
      <c r="A19" s="557" t="s">
        <v>155</v>
      </c>
      <c r="B19" s="792">
        <v>5</v>
      </c>
      <c r="C19" s="584">
        <f t="shared" si="0"/>
        <v>53620.751083686861</v>
      </c>
      <c r="D19" s="585">
        <f t="shared" si="1"/>
        <v>177504.5369263851</v>
      </c>
      <c r="E19" s="584">
        <f t="shared" si="2"/>
        <v>43717.215119492255</v>
      </c>
      <c r="F19" s="585">
        <f t="shared" si="3"/>
        <v>30046.659489774276</v>
      </c>
      <c r="G19" s="584">
        <f t="shared" si="4"/>
        <v>46205.175493924035</v>
      </c>
      <c r="H19" s="584">
        <f t="shared" si="5"/>
        <v>47223.470458239579</v>
      </c>
      <c r="I19" s="584">
        <f t="shared" si="6"/>
        <v>49797.558755844373</v>
      </c>
      <c r="J19" s="585">
        <f t="shared" si="7"/>
        <v>61286.065555809822</v>
      </c>
      <c r="K19" s="584">
        <f t="shared" si="8"/>
        <v>64548.047608085777</v>
      </c>
      <c r="L19" s="585">
        <f t="shared" si="9"/>
        <v>64835.27762833544</v>
      </c>
      <c r="M19" s="584">
        <f t="shared" si="10"/>
        <v>61916.891251758396</v>
      </c>
      <c r="N19" s="584">
        <f t="shared" si="11"/>
        <v>61364.373128663923</v>
      </c>
      <c r="O19" s="587">
        <f t="shared" si="12"/>
        <v>762066.02249999973</v>
      </c>
    </row>
    <row r="20" spans="1:15" x14ac:dyDescent="0.2">
      <c r="A20" s="557" t="s">
        <v>277</v>
      </c>
      <c r="B20" s="792">
        <v>5</v>
      </c>
      <c r="C20" s="584">
        <f t="shared" si="0"/>
        <v>53620.751083686861</v>
      </c>
      <c r="D20" s="585">
        <f t="shared" si="1"/>
        <v>177504.5369263851</v>
      </c>
      <c r="E20" s="584">
        <f t="shared" si="2"/>
        <v>43717.215119492255</v>
      </c>
      <c r="F20" s="585">
        <f t="shared" si="3"/>
        <v>30046.659489774276</v>
      </c>
      <c r="G20" s="584">
        <f t="shared" si="4"/>
        <v>46205.175493924035</v>
      </c>
      <c r="H20" s="584">
        <f t="shared" si="5"/>
        <v>47223.470458239579</v>
      </c>
      <c r="I20" s="584">
        <f t="shared" si="6"/>
        <v>49797.558755844373</v>
      </c>
      <c r="J20" s="585">
        <f t="shared" si="7"/>
        <v>61286.065555809822</v>
      </c>
      <c r="K20" s="584">
        <f t="shared" si="8"/>
        <v>64548.047608085777</v>
      </c>
      <c r="L20" s="585">
        <f t="shared" si="9"/>
        <v>64835.27762833544</v>
      </c>
      <c r="M20" s="584">
        <f t="shared" si="10"/>
        <v>61916.891251758396</v>
      </c>
      <c r="N20" s="584">
        <f t="shared" si="11"/>
        <v>61364.373128663923</v>
      </c>
      <c r="O20" s="587">
        <f t="shared" si="12"/>
        <v>762066.02249999973</v>
      </c>
    </row>
    <row r="21" spans="1:15" x14ac:dyDescent="0.2">
      <c r="A21" s="557" t="s">
        <v>278</v>
      </c>
      <c r="B21" s="792">
        <v>5</v>
      </c>
      <c r="C21" s="584">
        <f t="shared" si="0"/>
        <v>53620.751083686861</v>
      </c>
      <c r="D21" s="585">
        <f t="shared" si="1"/>
        <v>177504.5369263851</v>
      </c>
      <c r="E21" s="584">
        <f t="shared" si="2"/>
        <v>43717.215119492255</v>
      </c>
      <c r="F21" s="585">
        <f t="shared" si="3"/>
        <v>30046.659489774276</v>
      </c>
      <c r="G21" s="584">
        <f t="shared" si="4"/>
        <v>46205.175493924035</v>
      </c>
      <c r="H21" s="584">
        <f t="shared" si="5"/>
        <v>47223.470458239579</v>
      </c>
      <c r="I21" s="584">
        <f t="shared" si="6"/>
        <v>49797.558755844373</v>
      </c>
      <c r="J21" s="585">
        <f t="shared" si="7"/>
        <v>61286.065555809822</v>
      </c>
      <c r="K21" s="584">
        <f t="shared" si="8"/>
        <v>64548.047608085777</v>
      </c>
      <c r="L21" s="585">
        <f t="shared" si="9"/>
        <v>64835.27762833544</v>
      </c>
      <c r="M21" s="584">
        <f t="shared" si="10"/>
        <v>61916.891251758396</v>
      </c>
      <c r="N21" s="584">
        <f t="shared" si="11"/>
        <v>61364.373128663923</v>
      </c>
      <c r="O21" s="587">
        <f t="shared" si="12"/>
        <v>762066.02249999973</v>
      </c>
    </row>
    <row r="22" spans="1:15" x14ac:dyDescent="0.2">
      <c r="A22" s="557" t="s">
        <v>279</v>
      </c>
      <c r="B22" s="792">
        <v>5</v>
      </c>
      <c r="C22" s="584">
        <f t="shared" si="0"/>
        <v>53620.751083686861</v>
      </c>
      <c r="D22" s="585">
        <f t="shared" si="1"/>
        <v>177504.5369263851</v>
      </c>
      <c r="E22" s="584">
        <f t="shared" si="2"/>
        <v>43717.215119492255</v>
      </c>
      <c r="F22" s="585">
        <f t="shared" si="3"/>
        <v>30046.659489774276</v>
      </c>
      <c r="G22" s="584">
        <f t="shared" si="4"/>
        <v>46205.175493924035</v>
      </c>
      <c r="H22" s="584">
        <f t="shared" si="5"/>
        <v>47223.470458239579</v>
      </c>
      <c r="I22" s="584">
        <f t="shared" si="6"/>
        <v>49797.558755844373</v>
      </c>
      <c r="J22" s="585">
        <f t="shared" si="7"/>
        <v>61286.065555809822</v>
      </c>
      <c r="K22" s="584">
        <f t="shared" si="8"/>
        <v>64548.047608085777</v>
      </c>
      <c r="L22" s="585">
        <f t="shared" si="9"/>
        <v>64835.27762833544</v>
      </c>
      <c r="M22" s="584">
        <f t="shared" si="10"/>
        <v>61916.891251758396</v>
      </c>
      <c r="N22" s="584">
        <f t="shared" si="11"/>
        <v>61364.373128663923</v>
      </c>
      <c r="O22" s="587">
        <f t="shared" si="12"/>
        <v>762066.02249999973</v>
      </c>
    </row>
    <row r="23" spans="1:15" x14ac:dyDescent="0.2">
      <c r="A23" s="557" t="s">
        <v>159</v>
      </c>
      <c r="B23" s="792">
        <v>5</v>
      </c>
      <c r="C23" s="584">
        <f t="shared" si="0"/>
        <v>53620.751083686861</v>
      </c>
      <c r="D23" s="585">
        <f t="shared" si="1"/>
        <v>177504.5369263851</v>
      </c>
      <c r="E23" s="584">
        <f t="shared" si="2"/>
        <v>43717.215119492255</v>
      </c>
      <c r="F23" s="585">
        <f t="shared" si="3"/>
        <v>30046.659489774276</v>
      </c>
      <c r="G23" s="584">
        <f t="shared" si="4"/>
        <v>46205.175493924035</v>
      </c>
      <c r="H23" s="584">
        <f t="shared" si="5"/>
        <v>47223.470458239579</v>
      </c>
      <c r="I23" s="584">
        <f t="shared" si="6"/>
        <v>49797.558755844373</v>
      </c>
      <c r="J23" s="585">
        <f t="shared" si="7"/>
        <v>61286.065555809822</v>
      </c>
      <c r="K23" s="584">
        <f t="shared" si="8"/>
        <v>64548.047608085777</v>
      </c>
      <c r="L23" s="585">
        <f t="shared" si="9"/>
        <v>64835.27762833544</v>
      </c>
      <c r="M23" s="584">
        <f t="shared" si="10"/>
        <v>61916.891251758396</v>
      </c>
      <c r="N23" s="584">
        <f t="shared" si="11"/>
        <v>61364.373128663923</v>
      </c>
      <c r="O23" s="587">
        <f t="shared" si="12"/>
        <v>762066.02249999973</v>
      </c>
    </row>
    <row r="24" spans="1:15" x14ac:dyDescent="0.2">
      <c r="A24" s="557" t="s">
        <v>160</v>
      </c>
      <c r="B24" s="792">
        <v>5</v>
      </c>
      <c r="C24" s="584">
        <f t="shared" si="0"/>
        <v>53620.751083686861</v>
      </c>
      <c r="D24" s="585">
        <f t="shared" si="1"/>
        <v>177504.5369263851</v>
      </c>
      <c r="E24" s="584">
        <f t="shared" si="2"/>
        <v>43717.215119492255</v>
      </c>
      <c r="F24" s="585">
        <f t="shared" si="3"/>
        <v>30046.659489774276</v>
      </c>
      <c r="G24" s="584">
        <f t="shared" si="4"/>
        <v>46205.175493924035</v>
      </c>
      <c r="H24" s="584">
        <f t="shared" si="5"/>
        <v>47223.470458239579</v>
      </c>
      <c r="I24" s="584">
        <f t="shared" si="6"/>
        <v>49797.558755844373</v>
      </c>
      <c r="J24" s="585">
        <f t="shared" si="7"/>
        <v>61286.065555809822</v>
      </c>
      <c r="K24" s="584">
        <f t="shared" si="8"/>
        <v>64548.047608085777</v>
      </c>
      <c r="L24" s="585">
        <f t="shared" si="9"/>
        <v>64835.27762833544</v>
      </c>
      <c r="M24" s="584">
        <f t="shared" si="10"/>
        <v>61916.891251758396</v>
      </c>
      <c r="N24" s="584">
        <f t="shared" si="11"/>
        <v>61364.373128663923</v>
      </c>
      <c r="O24" s="587">
        <f t="shared" si="12"/>
        <v>762066.02249999973</v>
      </c>
    </row>
    <row r="25" spans="1:15" x14ac:dyDescent="0.2">
      <c r="A25" s="557" t="s">
        <v>161</v>
      </c>
      <c r="B25" s="792">
        <v>5</v>
      </c>
      <c r="C25" s="584">
        <f t="shared" si="0"/>
        <v>53620.751083686861</v>
      </c>
      <c r="D25" s="585">
        <f t="shared" si="1"/>
        <v>177504.5369263851</v>
      </c>
      <c r="E25" s="584">
        <f t="shared" si="2"/>
        <v>43717.215119492255</v>
      </c>
      <c r="F25" s="585">
        <f t="shared" si="3"/>
        <v>30046.659489774276</v>
      </c>
      <c r="G25" s="584">
        <f t="shared" si="4"/>
        <v>46205.175493924035</v>
      </c>
      <c r="H25" s="584">
        <f t="shared" si="5"/>
        <v>47223.470458239579</v>
      </c>
      <c r="I25" s="584">
        <f t="shared" si="6"/>
        <v>49797.558755844373</v>
      </c>
      <c r="J25" s="585">
        <f t="shared" si="7"/>
        <v>61286.065555809822</v>
      </c>
      <c r="K25" s="584">
        <f t="shared" si="8"/>
        <v>64548.047608085777</v>
      </c>
      <c r="L25" s="585">
        <f t="shared" si="9"/>
        <v>64835.27762833544</v>
      </c>
      <c r="M25" s="584">
        <f t="shared" si="10"/>
        <v>61916.891251758396</v>
      </c>
      <c r="N25" s="584">
        <f t="shared" si="11"/>
        <v>61364.373128663923</v>
      </c>
      <c r="O25" s="587">
        <f t="shared" si="12"/>
        <v>762066.02249999973</v>
      </c>
    </row>
    <row r="26" spans="1:15" ht="13.5" thickBot="1" x14ac:dyDescent="0.25">
      <c r="A26" s="557" t="s">
        <v>162</v>
      </c>
      <c r="B26" s="793">
        <v>5</v>
      </c>
      <c r="C26" s="584">
        <f t="shared" si="0"/>
        <v>53620.751083686861</v>
      </c>
      <c r="D26" s="585">
        <f t="shared" si="1"/>
        <v>177504.5369263851</v>
      </c>
      <c r="E26" s="584">
        <f t="shared" si="2"/>
        <v>43717.215119492255</v>
      </c>
      <c r="F26" s="585">
        <f t="shared" si="3"/>
        <v>30046.659489774276</v>
      </c>
      <c r="G26" s="584">
        <f t="shared" si="4"/>
        <v>46205.175493924035</v>
      </c>
      <c r="H26" s="584">
        <f t="shared" si="5"/>
        <v>47223.470458239579</v>
      </c>
      <c r="I26" s="590">
        <f t="shared" si="6"/>
        <v>49797.558755844373</v>
      </c>
      <c r="J26" s="585">
        <f t="shared" si="7"/>
        <v>61286.065555809822</v>
      </c>
      <c r="K26" s="584">
        <f t="shared" si="8"/>
        <v>64548.047608085777</v>
      </c>
      <c r="L26" s="585">
        <f t="shared" si="9"/>
        <v>64835.27762833544</v>
      </c>
      <c r="M26" s="584">
        <f t="shared" si="10"/>
        <v>61916.891251758396</v>
      </c>
      <c r="N26" s="584">
        <f t="shared" si="11"/>
        <v>61364.373128663923</v>
      </c>
      <c r="O26" s="587">
        <f t="shared" si="12"/>
        <v>762066.02249999973</v>
      </c>
    </row>
    <row r="27" spans="1:15" ht="13.5" thickBot="1" x14ac:dyDescent="0.25">
      <c r="A27" s="562" t="s">
        <v>280</v>
      </c>
      <c r="B27" s="563">
        <f>SUM(B7:B26)</f>
        <v>100</v>
      </c>
      <c r="C27" s="592">
        <f>'X22.55 POE'!B40</f>
        <v>1072415.0216737373</v>
      </c>
      <c r="D27" s="592">
        <f>'X22.55 POE'!C40</f>
        <v>3550090.7385277017</v>
      </c>
      <c r="E27" s="592">
        <f>'X22.55 POE'!D40</f>
        <v>874344.30238984502</v>
      </c>
      <c r="F27" s="592">
        <f>'X22.55 POE'!E40</f>
        <v>600933.18979548546</v>
      </c>
      <c r="G27" s="592">
        <f>'X22.55 POE'!F40</f>
        <v>924103.50987848057</v>
      </c>
      <c r="H27" s="592">
        <f>'X22.55 POE'!G40</f>
        <v>944469.40916479146</v>
      </c>
      <c r="I27" s="592">
        <f>'X22.55 POE'!H40</f>
        <v>995951.17511688755</v>
      </c>
      <c r="J27" s="592">
        <f>'X22.55 POE'!I40</f>
        <v>1225721.3111161964</v>
      </c>
      <c r="K27" s="592">
        <f>'X22.55 POE'!J40</f>
        <v>1290960.9521617156</v>
      </c>
      <c r="L27" s="592">
        <f>'X22.55 POE'!K40</f>
        <v>1296705.5525667088</v>
      </c>
      <c r="M27" s="592">
        <f>'X22.55 POE'!L40</f>
        <v>1238337.8250351679</v>
      </c>
      <c r="N27" s="592">
        <f>'X22.55 POE'!M40</f>
        <v>1227287.4625732785</v>
      </c>
      <c r="O27" s="592">
        <f t="shared" ref="O27" si="13">SUM(O7:O26)</f>
        <v>15241320.44999999</v>
      </c>
    </row>
    <row r="28" spans="1:15" hidden="1" x14ac:dyDescent="0.2">
      <c r="A28" s="573" t="s">
        <v>308</v>
      </c>
      <c r="B28" s="573"/>
      <c r="C28" s="574">
        <f>'[3]PRESUPUSTO ESTATAL 2017'!B52</f>
        <v>1521250.4468291907</v>
      </c>
      <c r="D28" s="574">
        <f>'[3]PRESUPUSTO ESTATAL 2017'!C52</f>
        <v>1992155.4322061262</v>
      </c>
      <c r="E28" s="574">
        <f>'[3]PRESUPUSTO ESTATAL 2017'!D52</f>
        <v>1561223.5204092669</v>
      </c>
      <c r="F28" s="574">
        <f>'[3]PRESUPUSTO ESTATAL 2017'!E52</f>
        <v>1709133.4840227321</v>
      </c>
      <c r="G28" s="574">
        <f>'[3]PRESUPUSTO ESTATAL 2017'!F52</f>
        <v>1794276.5472658337</v>
      </c>
      <c r="H28" s="574">
        <f>'[3]PRESUPUSTO ESTATAL 2017'!G52</f>
        <v>1664193.9164477964</v>
      </c>
      <c r="I28" s="574">
        <f>'[3]PRESUPUSTO ESTATAL 2017'!H52</f>
        <v>1722567.8942233375</v>
      </c>
      <c r="J28" s="574">
        <f>'[3]PRESUPUSTO ESTATAL 2017'!I52</f>
        <v>1774773.0179705636</v>
      </c>
      <c r="K28" s="574">
        <f>'[3]PRESUPUSTO ESTATAL 2017'!J52</f>
        <v>1814273.0193366187</v>
      </c>
      <c r="L28" s="574">
        <f>'[3]PRESUPUSTO ESTATAL 2017'!K52</f>
        <v>1772942.0603667807</v>
      </c>
      <c r="M28" s="574">
        <f>'[3]PRESUPUSTO ESTATAL 2017'!L52</f>
        <v>1696337.0334839264</v>
      </c>
      <c r="N28" s="574">
        <f>'[3]PRESUPUSTO ESTATAL 2017'!M52</f>
        <v>1676873.6274378267</v>
      </c>
      <c r="O28" s="574">
        <f>SUM(C28:N28)</f>
        <v>20700000</v>
      </c>
    </row>
    <row r="29" spans="1:15" hidden="1" x14ac:dyDescent="0.2">
      <c r="A29" s="575" t="s">
        <v>309</v>
      </c>
      <c r="B29" s="575"/>
      <c r="C29" s="576">
        <f>C28-C27</f>
        <v>448835.42515545338</v>
      </c>
      <c r="D29" s="576">
        <f t="shared" ref="D29:O29" si="14">D28-D27</f>
        <v>-1557935.3063215755</v>
      </c>
      <c r="E29" s="576">
        <f t="shared" si="14"/>
        <v>686879.21801942191</v>
      </c>
      <c r="F29" s="576">
        <f t="shared" si="14"/>
        <v>1108200.2942272467</v>
      </c>
      <c r="G29" s="576">
        <f t="shared" si="14"/>
        <v>870173.03738735314</v>
      </c>
      <c r="H29" s="576">
        <f t="shared" si="14"/>
        <v>719724.50728300493</v>
      </c>
      <c r="I29" s="576">
        <f t="shared" si="14"/>
        <v>726616.71910644998</v>
      </c>
      <c r="J29" s="576">
        <f t="shared" si="14"/>
        <v>549051.70685436716</v>
      </c>
      <c r="K29" s="576">
        <f t="shared" si="14"/>
        <v>523312.06717490312</v>
      </c>
      <c r="L29" s="576">
        <f t="shared" si="14"/>
        <v>476236.50780007197</v>
      </c>
      <c r="M29" s="576">
        <f t="shared" si="14"/>
        <v>457999.20844875858</v>
      </c>
      <c r="N29" s="576">
        <f t="shared" si="14"/>
        <v>449586.16486454825</v>
      </c>
      <c r="O29" s="576">
        <f t="shared" si="14"/>
        <v>5458679.5500000101</v>
      </c>
    </row>
    <row r="30" spans="1:15" x14ac:dyDescent="0.2">
      <c r="A30" s="566" t="s">
        <v>281</v>
      </c>
    </row>
    <row r="32" spans="1:15" x14ac:dyDescent="0.2">
      <c r="A32" s="552" t="s">
        <v>309</v>
      </c>
      <c r="C32" s="593">
        <f>'X22.55 POE'!B40</f>
        <v>1072415.0216737373</v>
      </c>
      <c r="D32" s="593">
        <f>'X22.55 POE'!C40</f>
        <v>3550090.7385277017</v>
      </c>
      <c r="E32" s="593">
        <f>'X22.55 POE'!D40</f>
        <v>874344.30238984502</v>
      </c>
      <c r="F32" s="593">
        <f>'X22.55 POE'!E40</f>
        <v>600933.18979548546</v>
      </c>
      <c r="G32" s="593">
        <f>'X22.55 POE'!F40</f>
        <v>924103.50987848057</v>
      </c>
      <c r="H32" s="593">
        <f>'X22.55 POE'!G40</f>
        <v>944469.40916479146</v>
      </c>
      <c r="I32" s="593">
        <f>'X22.55 POE'!H40</f>
        <v>995951.17511688755</v>
      </c>
      <c r="J32" s="593">
        <f>'X22.55 POE'!I40</f>
        <v>1225721.3111161964</v>
      </c>
      <c r="K32" s="593">
        <f>'X22.55 POE'!J40</f>
        <v>1290960.9521617156</v>
      </c>
      <c r="L32" s="593">
        <f>'X22.55 POE'!K40</f>
        <v>1296705.5525667088</v>
      </c>
      <c r="M32" s="593">
        <f>'X22.55 POE'!L40</f>
        <v>1238337.8250351679</v>
      </c>
      <c r="N32" s="593">
        <f>'X22.55 POE'!M40</f>
        <v>1227287.4625732785</v>
      </c>
      <c r="O32" s="593">
        <f>SUM(C32:N32)</f>
        <v>15241320.449999997</v>
      </c>
    </row>
    <row r="34" spans="3:15" x14ac:dyDescent="0.2">
      <c r="C34" s="561"/>
      <c r="D34" s="561"/>
      <c r="E34" s="561"/>
      <c r="F34" s="561"/>
      <c r="G34" s="561"/>
      <c r="H34" s="561"/>
      <c r="I34" s="561"/>
      <c r="J34" s="561"/>
      <c r="K34" s="561"/>
      <c r="L34" s="561"/>
      <c r="M34" s="561"/>
      <c r="N34" s="561"/>
      <c r="O34" s="561"/>
    </row>
    <row r="38" spans="3:15" x14ac:dyDescent="0.2">
      <c r="K38" s="561"/>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7" tint="0.39997558519241921"/>
  </sheetPr>
  <dimension ref="A1:R38"/>
  <sheetViews>
    <sheetView workbookViewId="0">
      <selection activeCell="C27" sqref="C27:N27"/>
    </sheetView>
  </sheetViews>
  <sheetFormatPr baseColWidth="10" defaultRowHeight="12.75" x14ac:dyDescent="0.2"/>
  <cols>
    <col min="1" max="1" width="16.85546875" style="552" customWidth="1"/>
    <col min="2" max="2" width="9.28515625" style="552" bestFit="1" customWidth="1"/>
    <col min="3" max="3" width="12" style="552" bestFit="1" customWidth="1"/>
    <col min="4" max="4" width="14.7109375" style="552" bestFit="1" customWidth="1"/>
    <col min="5" max="8" width="11.7109375" style="552" bestFit="1" customWidth="1"/>
    <col min="9" max="10" width="12" style="552" bestFit="1" customWidth="1"/>
    <col min="11" max="11" width="12.140625" style="552" customWidth="1"/>
    <col min="12" max="14" width="12" style="552" bestFit="1" customWidth="1"/>
    <col min="15" max="15" width="13.140625" style="552" bestFit="1" customWidth="1"/>
    <col min="16" max="17" width="11.42578125" style="552"/>
    <col min="18" max="18" width="12.7109375" style="552" bestFit="1" customWidth="1"/>
    <col min="19"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317</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68">
        <v>3.9399999999999998E-2</v>
      </c>
      <c r="C7" s="584">
        <f>$C$27*B7</f>
        <v>56963.546951054755</v>
      </c>
      <c r="D7" s="584">
        <f>$D$27*B7</f>
        <v>86906.697217008536</v>
      </c>
      <c r="E7" s="584">
        <f>$E$27*B7</f>
        <v>59746.246585840105</v>
      </c>
      <c r="F7" s="584">
        <f>$F$27*B7</f>
        <v>67867.982827057887</v>
      </c>
      <c r="G7" s="584">
        <f>$G$27*B7</f>
        <v>64660.762935787861</v>
      </c>
      <c r="H7" s="584">
        <f>$H$27*B7</f>
        <v>67599.96159390721</v>
      </c>
      <c r="I7" s="584">
        <f>$I$27*B7</f>
        <v>68696.572300394633</v>
      </c>
      <c r="J7" s="584">
        <f>$J$27*B7</f>
        <v>71269.225402021868</v>
      </c>
      <c r="K7" s="584">
        <f>$K$27*B7</f>
        <v>68949.326174828399</v>
      </c>
      <c r="L7" s="584">
        <f>$L$27*B7</f>
        <v>67391.350673871682</v>
      </c>
      <c r="M7" s="584">
        <f>$M$27*B7</f>
        <v>65860.428313614379</v>
      </c>
      <c r="N7" s="584">
        <f>$N$27*B7</f>
        <v>66121.899024612838</v>
      </c>
      <c r="O7" s="587">
        <f>SUM(C7:N7)</f>
        <v>812034</v>
      </c>
    </row>
    <row r="8" spans="1:15" x14ac:dyDescent="0.2">
      <c r="A8" s="557" t="s">
        <v>144</v>
      </c>
      <c r="B8" s="569">
        <v>5.7799999999999997E-2</v>
      </c>
      <c r="C8" s="584">
        <f t="shared" ref="C8:C26" si="0">$C$27*B8</f>
        <v>83565.812532257987</v>
      </c>
      <c r="D8" s="584">
        <f t="shared" ref="D8:D26" si="1">$D$27*B8</f>
        <v>127492.56596809882</v>
      </c>
      <c r="E8" s="584">
        <f t="shared" ref="E8:E26" si="2">$E$27*B8</f>
        <v>87648.047021866951</v>
      </c>
      <c r="F8" s="584">
        <f t="shared" ref="F8:F26" si="3">$F$27*B8</f>
        <v>99562.675314820968</v>
      </c>
      <c r="G8" s="584">
        <f t="shared" ref="G8:G26" si="4">$G$27*B8</f>
        <v>94857.667454023816</v>
      </c>
      <c r="H8" s="584">
        <f t="shared" ref="H8:H26" si="5">$H$27*B8</f>
        <v>99169.486805275053</v>
      </c>
      <c r="I8" s="584">
        <f t="shared" ref="I8:I26" si="6">$I$27*B8</f>
        <v>100778.2202782439</v>
      </c>
      <c r="J8" s="584">
        <f t="shared" ref="J8:J26" si="7">$J$27*B8</f>
        <v>104552.31543748386</v>
      </c>
      <c r="K8" s="584">
        <f t="shared" ref="K8:K26" si="8">$K$27*B8</f>
        <v>101149.01149505284</v>
      </c>
      <c r="L8" s="584">
        <f t="shared" ref="L8:L26" si="9">$L$27*B8</f>
        <v>98863.45352664424</v>
      </c>
      <c r="M8" s="584">
        <f t="shared" ref="M8:M26" si="10">$M$27*B8</f>
        <v>96617.582652967278</v>
      </c>
      <c r="N8" s="584">
        <f t="shared" ref="N8:N26" si="11">$N$27*B8</f>
        <v>97001.161513264524</v>
      </c>
      <c r="O8" s="587">
        <f t="shared" ref="O8:O26" si="12">SUM(C8:N8)</f>
        <v>1191258.0000000002</v>
      </c>
    </row>
    <row r="9" spans="1:15" x14ac:dyDescent="0.2">
      <c r="A9" s="557" t="s">
        <v>145</v>
      </c>
      <c r="B9" s="569">
        <v>6.1199999999999997E-2</v>
      </c>
      <c r="C9" s="584">
        <f t="shared" si="0"/>
        <v>88481.44856356729</v>
      </c>
      <c r="D9" s="584">
        <f t="shared" si="1"/>
        <v>134992.12867210462</v>
      </c>
      <c r="E9" s="584">
        <f t="shared" si="2"/>
        <v>92803.814493741476</v>
      </c>
      <c r="F9" s="584">
        <f t="shared" si="3"/>
        <v>105419.30327451632</v>
      </c>
      <c r="G9" s="584">
        <f t="shared" si="4"/>
        <v>100437.53024543698</v>
      </c>
      <c r="H9" s="584">
        <f t="shared" si="5"/>
        <v>105002.98602911476</v>
      </c>
      <c r="I9" s="584">
        <f t="shared" si="6"/>
        <v>106706.35088284648</v>
      </c>
      <c r="J9" s="584">
        <f t="shared" si="7"/>
        <v>110702.45163968879</v>
      </c>
      <c r="K9" s="584">
        <f t="shared" si="8"/>
        <v>107098.95334770301</v>
      </c>
      <c r="L9" s="584">
        <f t="shared" si="9"/>
        <v>104678.95079291744</v>
      </c>
      <c r="M9" s="584">
        <f t="shared" si="10"/>
        <v>102300.96986784771</v>
      </c>
      <c r="N9" s="584">
        <f t="shared" si="11"/>
        <v>102707.11219051539</v>
      </c>
      <c r="O9" s="587">
        <f t="shared" si="12"/>
        <v>1261332.0000000005</v>
      </c>
    </row>
    <row r="10" spans="1:15" x14ac:dyDescent="0.2">
      <c r="A10" s="557" t="s">
        <v>275</v>
      </c>
      <c r="B10" s="569">
        <v>5.0799999999999998E-2</v>
      </c>
      <c r="C10" s="584">
        <f t="shared" si="0"/>
        <v>73445.385408974151</v>
      </c>
      <c r="D10" s="584">
        <f t="shared" si="1"/>
        <v>112052.28981279273</v>
      </c>
      <c r="E10" s="584">
        <f t="shared" si="2"/>
        <v>77033.231638595869</v>
      </c>
      <c r="F10" s="584">
        <f t="shared" si="3"/>
        <v>87504.911868389361</v>
      </c>
      <c r="G10" s="584">
        <f t="shared" si="4"/>
        <v>83369.714648173191</v>
      </c>
      <c r="H10" s="584">
        <f t="shared" si="5"/>
        <v>87159.341344428598</v>
      </c>
      <c r="I10" s="584">
        <f t="shared" si="6"/>
        <v>88573.245504062113</v>
      </c>
      <c r="J10" s="584">
        <f t="shared" si="7"/>
        <v>91890.270315297239</v>
      </c>
      <c r="K10" s="584">
        <f t="shared" si="8"/>
        <v>88899.131210184845</v>
      </c>
      <c r="L10" s="584">
        <f t="shared" si="9"/>
        <v>86890.370919611203</v>
      </c>
      <c r="M10" s="584">
        <f t="shared" si="10"/>
        <v>84916.491328213466</v>
      </c>
      <c r="N10" s="584">
        <f t="shared" si="11"/>
        <v>85253.616001277478</v>
      </c>
      <c r="O10" s="587">
        <f t="shared" si="12"/>
        <v>1046988.0000000002</v>
      </c>
    </row>
    <row r="11" spans="1:15" x14ac:dyDescent="0.2">
      <c r="A11" s="557" t="s">
        <v>147</v>
      </c>
      <c r="B11" s="569">
        <v>3.0700000000000002E-2</v>
      </c>
      <c r="C11" s="584">
        <f t="shared" si="0"/>
        <v>44385.301812116275</v>
      </c>
      <c r="D11" s="584">
        <f t="shared" si="1"/>
        <v>67716.63970969955</v>
      </c>
      <c r="E11" s="584">
        <f t="shared" si="2"/>
        <v>46553.54746663176</v>
      </c>
      <c r="F11" s="584">
        <f t="shared" si="3"/>
        <v>52881.905400778618</v>
      </c>
      <c r="G11" s="584">
        <f t="shared" si="4"/>
        <v>50382.878734230646</v>
      </c>
      <c r="H11" s="584">
        <f t="shared" si="5"/>
        <v>52673.066521140907</v>
      </c>
      <c r="I11" s="584">
        <f t="shared" si="6"/>
        <v>53527.532223911556</v>
      </c>
      <c r="J11" s="584">
        <f t="shared" si="7"/>
        <v>55532.112178732787</v>
      </c>
      <c r="K11" s="584">
        <f t="shared" si="8"/>
        <v>53724.474963635337</v>
      </c>
      <c r="L11" s="584">
        <f t="shared" si="9"/>
        <v>52510.519433702051</v>
      </c>
      <c r="M11" s="584">
        <f t="shared" si="10"/>
        <v>51317.643381420341</v>
      </c>
      <c r="N11" s="584">
        <f t="shared" si="11"/>
        <v>51521.378174000369</v>
      </c>
      <c r="O11" s="587">
        <f t="shared" si="12"/>
        <v>632727.00000000023</v>
      </c>
    </row>
    <row r="12" spans="1:15" x14ac:dyDescent="0.2">
      <c r="A12" s="557" t="s">
        <v>276</v>
      </c>
      <c r="B12" s="569">
        <v>9.5100000000000004E-2</v>
      </c>
      <c r="C12" s="584">
        <f t="shared" si="0"/>
        <v>137493.23134632761</v>
      </c>
      <c r="D12" s="584">
        <f t="shared" si="1"/>
        <v>209767.18033851555</v>
      </c>
      <c r="E12" s="584">
        <f t="shared" si="2"/>
        <v>144209.84899272575</v>
      </c>
      <c r="F12" s="584">
        <f t="shared" si="3"/>
        <v>163813.32910794939</v>
      </c>
      <c r="G12" s="584">
        <f t="shared" si="4"/>
        <v>156072.0445480565</v>
      </c>
      <c r="H12" s="584">
        <f t="shared" si="5"/>
        <v>163166.40476092836</v>
      </c>
      <c r="I12" s="584">
        <f t="shared" si="6"/>
        <v>165813.30014638399</v>
      </c>
      <c r="J12" s="584">
        <f t="shared" si="7"/>
        <v>172022.92730284977</v>
      </c>
      <c r="K12" s="584">
        <f t="shared" si="8"/>
        <v>166423.37358442086</v>
      </c>
      <c r="L12" s="584">
        <f t="shared" si="9"/>
        <v>162662.87941840602</v>
      </c>
      <c r="M12" s="584">
        <f t="shared" si="10"/>
        <v>158967.68356915552</v>
      </c>
      <c r="N12" s="584">
        <f t="shared" si="11"/>
        <v>159598.79688428127</v>
      </c>
      <c r="O12" s="587">
        <f t="shared" si="12"/>
        <v>1960011.0000000002</v>
      </c>
    </row>
    <row r="13" spans="1:15" x14ac:dyDescent="0.2">
      <c r="A13" s="557" t="s">
        <v>149</v>
      </c>
      <c r="B13" s="569">
        <v>9.3299999999999994E-2</v>
      </c>
      <c r="C13" s="584">
        <f t="shared" si="0"/>
        <v>134890.83580034031</v>
      </c>
      <c r="D13" s="584">
        <f t="shared" si="1"/>
        <v>205796.82361286538</v>
      </c>
      <c r="E13" s="584">
        <f t="shared" si="2"/>
        <v>141480.32503702745</v>
      </c>
      <c r="F13" s="584">
        <f t="shared" si="3"/>
        <v>160712.76136458127</v>
      </c>
      <c r="G13" s="584">
        <f t="shared" si="4"/>
        <v>153117.99954083774</v>
      </c>
      <c r="H13" s="584">
        <f t="shared" si="5"/>
        <v>160078.08164242495</v>
      </c>
      <c r="I13" s="584">
        <f t="shared" si="6"/>
        <v>162674.87806159438</v>
      </c>
      <c r="J13" s="584">
        <f t="shared" si="7"/>
        <v>168766.9728428589</v>
      </c>
      <c r="K13" s="584">
        <f t="shared" si="8"/>
        <v>163273.40436831192</v>
      </c>
      <c r="L13" s="584">
        <f t="shared" si="9"/>
        <v>159584.08674802608</v>
      </c>
      <c r="M13" s="584">
        <f t="shared" si="10"/>
        <v>155958.83151421882</v>
      </c>
      <c r="N13" s="584">
        <f t="shared" si="11"/>
        <v>156577.99946691314</v>
      </c>
      <c r="O13" s="587">
        <f t="shared" si="12"/>
        <v>1922913.0000000002</v>
      </c>
    </row>
    <row r="14" spans="1:15" x14ac:dyDescent="0.2">
      <c r="A14" s="557" t="s">
        <v>150</v>
      </c>
      <c r="B14" s="569">
        <v>4.5199999999999997E-2</v>
      </c>
      <c r="C14" s="584">
        <f t="shared" si="0"/>
        <v>65349.043710347076</v>
      </c>
      <c r="D14" s="584">
        <f t="shared" si="1"/>
        <v>99700.068888547859</v>
      </c>
      <c r="E14" s="584">
        <f t="shared" si="2"/>
        <v>68541.379331978998</v>
      </c>
      <c r="F14" s="584">
        <f t="shared" si="3"/>
        <v>77858.701111244081</v>
      </c>
      <c r="G14" s="584">
        <f t="shared" si="4"/>
        <v>74179.352403492667</v>
      </c>
      <c r="H14" s="584">
        <f t="shared" si="5"/>
        <v>77551.224975751422</v>
      </c>
      <c r="I14" s="584">
        <f t="shared" si="6"/>
        <v>78809.26568471668</v>
      </c>
      <c r="J14" s="584">
        <f t="shared" si="7"/>
        <v>81760.634217547937</v>
      </c>
      <c r="K14" s="584">
        <f t="shared" si="8"/>
        <v>79099.226982290449</v>
      </c>
      <c r="L14" s="584">
        <f t="shared" si="9"/>
        <v>77311.904833984765</v>
      </c>
      <c r="M14" s="584">
        <f t="shared" si="10"/>
        <v>75555.618268410399</v>
      </c>
      <c r="N14" s="584">
        <f t="shared" si="11"/>
        <v>75855.579591687827</v>
      </c>
      <c r="O14" s="587">
        <f t="shared" si="12"/>
        <v>931572.00000000023</v>
      </c>
    </row>
    <row r="15" spans="1:15" x14ac:dyDescent="0.2">
      <c r="A15" s="557" t="s">
        <v>151</v>
      </c>
      <c r="B15" s="569">
        <v>5.0799999999999998E-2</v>
      </c>
      <c r="C15" s="584">
        <f t="shared" si="0"/>
        <v>73445.385408974151</v>
      </c>
      <c r="D15" s="584">
        <f t="shared" si="1"/>
        <v>112052.28981279273</v>
      </c>
      <c r="E15" s="584">
        <f t="shared" si="2"/>
        <v>77033.231638595869</v>
      </c>
      <c r="F15" s="584">
        <f t="shared" si="3"/>
        <v>87504.911868389361</v>
      </c>
      <c r="G15" s="584">
        <f t="shared" si="4"/>
        <v>83369.714648173191</v>
      </c>
      <c r="H15" s="584">
        <f t="shared" si="5"/>
        <v>87159.341344428598</v>
      </c>
      <c r="I15" s="584">
        <f t="shared" si="6"/>
        <v>88573.245504062113</v>
      </c>
      <c r="J15" s="584">
        <f t="shared" si="7"/>
        <v>91890.270315297239</v>
      </c>
      <c r="K15" s="584">
        <f t="shared" si="8"/>
        <v>88899.131210184845</v>
      </c>
      <c r="L15" s="584">
        <f t="shared" si="9"/>
        <v>86890.370919611203</v>
      </c>
      <c r="M15" s="584">
        <f t="shared" si="10"/>
        <v>84916.491328213466</v>
      </c>
      <c r="N15" s="584">
        <f t="shared" si="11"/>
        <v>85253.616001277478</v>
      </c>
      <c r="O15" s="587">
        <f t="shared" si="12"/>
        <v>1046988.0000000002</v>
      </c>
    </row>
    <row r="16" spans="1:15" x14ac:dyDescent="0.2">
      <c r="A16" s="557" t="s">
        <v>152</v>
      </c>
      <c r="B16" s="569">
        <v>8.9200000000000002E-2</v>
      </c>
      <c r="C16" s="584">
        <f t="shared" si="0"/>
        <v>128963.15705670265</v>
      </c>
      <c r="D16" s="584">
        <f t="shared" si="1"/>
        <v>196753.23329332899</v>
      </c>
      <c r="E16" s="584">
        <f t="shared" si="2"/>
        <v>135263.07602682582</v>
      </c>
      <c r="F16" s="584">
        <f t="shared" si="3"/>
        <v>153650.35706024276</v>
      </c>
      <c r="G16" s="584">
        <f t="shared" si="4"/>
        <v>146389.34146883953</v>
      </c>
      <c r="H16" s="584">
        <f t="shared" si="5"/>
        <v>153043.5678725006</v>
      </c>
      <c r="I16" s="584">
        <f t="shared" si="6"/>
        <v>155526.24997957362</v>
      </c>
      <c r="J16" s="584">
        <f t="shared" si="7"/>
        <v>161350.6321284353</v>
      </c>
      <c r="K16" s="584">
        <f t="shared" si="8"/>
        <v>156098.47448717497</v>
      </c>
      <c r="L16" s="584">
        <f t="shared" si="9"/>
        <v>152571.2812210496</v>
      </c>
      <c r="M16" s="584">
        <f t="shared" si="10"/>
        <v>149105.33516686302</v>
      </c>
      <c r="N16" s="584">
        <f t="shared" si="11"/>
        <v>149697.2942384636</v>
      </c>
      <c r="O16" s="587">
        <f t="shared" si="12"/>
        <v>1838412.0000000002</v>
      </c>
    </row>
    <row r="17" spans="1:18" x14ac:dyDescent="0.2">
      <c r="A17" s="557" t="s">
        <v>153</v>
      </c>
      <c r="B17" s="569">
        <v>5.0200000000000002E-2</v>
      </c>
      <c r="C17" s="584">
        <f t="shared" si="0"/>
        <v>72577.9202269784</v>
      </c>
      <c r="D17" s="584">
        <f t="shared" si="1"/>
        <v>110728.83757090935</v>
      </c>
      <c r="E17" s="584">
        <f t="shared" si="2"/>
        <v>76123.390320029779</v>
      </c>
      <c r="F17" s="584">
        <f t="shared" si="3"/>
        <v>86471.389287266662</v>
      </c>
      <c r="G17" s="584">
        <f t="shared" si="4"/>
        <v>82385.032979100273</v>
      </c>
      <c r="H17" s="584">
        <f t="shared" si="5"/>
        <v>86129.900304927476</v>
      </c>
      <c r="I17" s="584">
        <f t="shared" si="6"/>
        <v>87527.104809132245</v>
      </c>
      <c r="J17" s="584">
        <f t="shared" si="7"/>
        <v>90804.952161966954</v>
      </c>
      <c r="K17" s="584">
        <f t="shared" si="8"/>
        <v>87849.141471481882</v>
      </c>
      <c r="L17" s="584">
        <f t="shared" si="9"/>
        <v>85864.106696151241</v>
      </c>
      <c r="M17" s="584">
        <f t="shared" si="10"/>
        <v>83913.540643234563</v>
      </c>
      <c r="N17" s="584">
        <f t="shared" si="11"/>
        <v>84246.68352882145</v>
      </c>
      <c r="O17" s="587">
        <f t="shared" si="12"/>
        <v>1034622.0000000002</v>
      </c>
    </row>
    <row r="18" spans="1:18" x14ac:dyDescent="0.2">
      <c r="A18" s="557" t="s">
        <v>154</v>
      </c>
      <c r="B18" s="569">
        <v>4.2900000000000001E-2</v>
      </c>
      <c r="C18" s="584">
        <f t="shared" si="0"/>
        <v>62023.760512696681</v>
      </c>
      <c r="D18" s="584">
        <f t="shared" si="1"/>
        <v>94626.835294661578</v>
      </c>
      <c r="E18" s="584">
        <f t="shared" si="2"/>
        <v>65053.654277475653</v>
      </c>
      <c r="F18" s="584">
        <f t="shared" si="3"/>
        <v>73896.864550273705</v>
      </c>
      <c r="G18" s="584">
        <f t="shared" si="4"/>
        <v>70404.739338713189</v>
      </c>
      <c r="H18" s="584">
        <f t="shared" si="5"/>
        <v>73605.034324330452</v>
      </c>
      <c r="I18" s="584">
        <f t="shared" si="6"/>
        <v>74799.059687485526</v>
      </c>
      <c r="J18" s="584">
        <f t="shared" si="7"/>
        <v>77600.247963115195</v>
      </c>
      <c r="K18" s="584">
        <f t="shared" si="8"/>
        <v>75074.266317262402</v>
      </c>
      <c r="L18" s="584">
        <f t="shared" si="9"/>
        <v>73377.891977388208</v>
      </c>
      <c r="M18" s="584">
        <f t="shared" si="10"/>
        <v>71710.973975991292</v>
      </c>
      <c r="N18" s="584">
        <f t="shared" si="11"/>
        <v>71995.671780606368</v>
      </c>
      <c r="O18" s="587">
        <f t="shared" si="12"/>
        <v>884169.00000000023</v>
      </c>
    </row>
    <row r="19" spans="1:18" x14ac:dyDescent="0.2">
      <c r="A19" s="557" t="s">
        <v>155</v>
      </c>
      <c r="B19" s="569">
        <v>3.04E-2</v>
      </c>
      <c r="C19" s="584">
        <f t="shared" si="0"/>
        <v>43951.569221118392</v>
      </c>
      <c r="D19" s="584">
        <f t="shared" si="1"/>
        <v>67054.91358875786</v>
      </c>
      <c r="E19" s="584">
        <f t="shared" si="2"/>
        <v>46098.626807348708</v>
      </c>
      <c r="F19" s="584">
        <f t="shared" si="3"/>
        <v>52365.144110217261</v>
      </c>
      <c r="G19" s="584">
        <f t="shared" si="4"/>
        <v>49890.537899694187</v>
      </c>
      <c r="H19" s="584">
        <f t="shared" si="5"/>
        <v>52158.346001390346</v>
      </c>
      <c r="I19" s="584">
        <f t="shared" si="6"/>
        <v>53004.461876446621</v>
      </c>
      <c r="J19" s="584">
        <f t="shared" si="7"/>
        <v>54989.453102067637</v>
      </c>
      <c r="K19" s="584">
        <f t="shared" si="8"/>
        <v>53199.480094283848</v>
      </c>
      <c r="L19" s="584">
        <f t="shared" si="9"/>
        <v>51997.387321972063</v>
      </c>
      <c r="M19" s="584">
        <f t="shared" si="10"/>
        <v>50816.168038930889</v>
      </c>
      <c r="N19" s="584">
        <f t="shared" si="11"/>
        <v>51017.911937772347</v>
      </c>
      <c r="O19" s="587">
        <f t="shared" si="12"/>
        <v>626544.00000000012</v>
      </c>
    </row>
    <row r="20" spans="1:18" x14ac:dyDescent="0.2">
      <c r="A20" s="557" t="s">
        <v>277</v>
      </c>
      <c r="B20" s="569">
        <v>6.7000000000000004E-2</v>
      </c>
      <c r="C20" s="584">
        <f t="shared" si="0"/>
        <v>96866.94532285961</v>
      </c>
      <c r="D20" s="584">
        <f t="shared" si="1"/>
        <v>147785.50034364397</v>
      </c>
      <c r="E20" s="584">
        <f t="shared" si="2"/>
        <v>101598.94723988039</v>
      </c>
      <c r="F20" s="584">
        <f t="shared" si="3"/>
        <v>115410.02155870253</v>
      </c>
      <c r="G20" s="584">
        <f t="shared" si="4"/>
        <v>109956.1197131418</v>
      </c>
      <c r="H20" s="584">
        <f t="shared" si="5"/>
        <v>114954.24941095899</v>
      </c>
      <c r="I20" s="584">
        <f t="shared" si="6"/>
        <v>116819.04426716855</v>
      </c>
      <c r="J20" s="584">
        <f t="shared" si="7"/>
        <v>121193.86045521488</v>
      </c>
      <c r="K20" s="584">
        <f t="shared" si="8"/>
        <v>117248.85415516507</v>
      </c>
      <c r="L20" s="584">
        <f t="shared" si="9"/>
        <v>114599.50495303054</v>
      </c>
      <c r="M20" s="584">
        <f t="shared" si="10"/>
        <v>111996.15982264375</v>
      </c>
      <c r="N20" s="584">
        <f t="shared" si="11"/>
        <v>112440.79275759037</v>
      </c>
      <c r="O20" s="587">
        <f t="shared" si="12"/>
        <v>1380870.0000000002</v>
      </c>
    </row>
    <row r="21" spans="1:18" x14ac:dyDescent="0.2">
      <c r="A21" s="557" t="s">
        <v>278</v>
      </c>
      <c r="B21" s="569">
        <v>5.0799999999999998E-2</v>
      </c>
      <c r="C21" s="584">
        <f t="shared" si="0"/>
        <v>73445.385408974151</v>
      </c>
      <c r="D21" s="584">
        <f t="shared" si="1"/>
        <v>112052.28981279273</v>
      </c>
      <c r="E21" s="584">
        <f t="shared" si="2"/>
        <v>77033.231638595869</v>
      </c>
      <c r="F21" s="584">
        <f t="shared" si="3"/>
        <v>87504.911868389361</v>
      </c>
      <c r="G21" s="584">
        <f t="shared" si="4"/>
        <v>83369.714648173191</v>
      </c>
      <c r="H21" s="584">
        <f t="shared" si="5"/>
        <v>87159.341344428598</v>
      </c>
      <c r="I21" s="584">
        <f t="shared" si="6"/>
        <v>88573.245504062113</v>
      </c>
      <c r="J21" s="584">
        <f t="shared" si="7"/>
        <v>91890.270315297239</v>
      </c>
      <c r="K21" s="584">
        <f t="shared" si="8"/>
        <v>88899.131210184845</v>
      </c>
      <c r="L21" s="584">
        <f t="shared" si="9"/>
        <v>86890.370919611203</v>
      </c>
      <c r="M21" s="584">
        <f t="shared" si="10"/>
        <v>84916.491328213466</v>
      </c>
      <c r="N21" s="584">
        <f t="shared" si="11"/>
        <v>85253.616001277478</v>
      </c>
      <c r="O21" s="587">
        <f t="shared" si="12"/>
        <v>1046988.0000000002</v>
      </c>
    </row>
    <row r="22" spans="1:18" x14ac:dyDescent="0.2">
      <c r="A22" s="557" t="s">
        <v>279</v>
      </c>
      <c r="B22" s="569">
        <v>1.7000000000000001E-2</v>
      </c>
      <c r="C22" s="584">
        <f t="shared" si="0"/>
        <v>24578.18015654647</v>
      </c>
      <c r="D22" s="584">
        <f t="shared" si="1"/>
        <v>37497.813520029071</v>
      </c>
      <c r="E22" s="584">
        <f t="shared" si="2"/>
        <v>25778.837359372636</v>
      </c>
      <c r="F22" s="584">
        <f t="shared" si="3"/>
        <v>29283.139798476761</v>
      </c>
      <c r="G22" s="584">
        <f t="shared" si="4"/>
        <v>27899.313957065831</v>
      </c>
      <c r="H22" s="584">
        <f t="shared" si="5"/>
        <v>29167.496119198549</v>
      </c>
      <c r="I22" s="584">
        <f t="shared" si="6"/>
        <v>29640.653023012914</v>
      </c>
      <c r="J22" s="584">
        <f t="shared" si="7"/>
        <v>30750.68101102467</v>
      </c>
      <c r="K22" s="584">
        <f t="shared" si="8"/>
        <v>29749.709263250839</v>
      </c>
      <c r="L22" s="584">
        <f t="shared" si="9"/>
        <v>29077.486331365959</v>
      </c>
      <c r="M22" s="584">
        <f t="shared" si="10"/>
        <v>28416.936074402147</v>
      </c>
      <c r="N22" s="584">
        <f t="shared" si="11"/>
        <v>28529.753386254277</v>
      </c>
      <c r="O22" s="587">
        <f t="shared" si="12"/>
        <v>350370.00000000012</v>
      </c>
    </row>
    <row r="23" spans="1:18" x14ac:dyDescent="0.2">
      <c r="A23" s="557" t="s">
        <v>159</v>
      </c>
      <c r="B23" s="569">
        <v>4.0800000000000003E-2</v>
      </c>
      <c r="C23" s="584">
        <f t="shared" si="0"/>
        <v>58987.632375711531</v>
      </c>
      <c r="D23" s="584">
        <f t="shared" si="1"/>
        <v>89994.752448069761</v>
      </c>
      <c r="E23" s="584">
        <f t="shared" si="2"/>
        <v>61869.20966249433</v>
      </c>
      <c r="F23" s="584">
        <f t="shared" si="3"/>
        <v>70279.535516344229</v>
      </c>
      <c r="G23" s="584">
        <f t="shared" si="4"/>
        <v>66958.353496957992</v>
      </c>
      <c r="H23" s="584">
        <f t="shared" si="5"/>
        <v>70001.990686076519</v>
      </c>
      <c r="I23" s="584">
        <f t="shared" si="6"/>
        <v>71137.567255230999</v>
      </c>
      <c r="J23" s="584">
        <f t="shared" si="7"/>
        <v>73801.634426459204</v>
      </c>
      <c r="K23" s="584">
        <f t="shared" si="8"/>
        <v>71399.302231802008</v>
      </c>
      <c r="L23" s="584">
        <f t="shared" si="9"/>
        <v>69785.967195278296</v>
      </c>
      <c r="M23" s="584">
        <f t="shared" si="10"/>
        <v>68200.646578565153</v>
      </c>
      <c r="N23" s="584">
        <f t="shared" si="11"/>
        <v>68471.408127010262</v>
      </c>
      <c r="O23" s="587">
        <f t="shared" si="12"/>
        <v>840888.00000000023</v>
      </c>
    </row>
    <row r="24" spans="1:18" x14ac:dyDescent="0.2">
      <c r="A24" s="557" t="s">
        <v>160</v>
      </c>
      <c r="B24" s="569">
        <v>3.7000000000000002E-3</v>
      </c>
      <c r="C24" s="584">
        <f t="shared" si="0"/>
        <v>5349.3686223071727</v>
      </c>
      <c r="D24" s="584">
        <f t="shared" si="1"/>
        <v>8161.2888249475027</v>
      </c>
      <c r="E24" s="584">
        <f t="shared" si="2"/>
        <v>5610.6881311575735</v>
      </c>
      <c r="F24" s="584">
        <f t="shared" si="3"/>
        <v>6373.3892502567069</v>
      </c>
      <c r="G24" s="584">
        <f t="shared" si="4"/>
        <v>6072.2036259496217</v>
      </c>
      <c r="H24" s="584">
        <f t="shared" si="5"/>
        <v>6348.2197435902726</v>
      </c>
      <c r="I24" s="584">
        <f t="shared" si="6"/>
        <v>6451.2009520675165</v>
      </c>
      <c r="J24" s="584">
        <f t="shared" si="7"/>
        <v>6692.795278870075</v>
      </c>
      <c r="K24" s="584">
        <f t="shared" si="8"/>
        <v>6474.9367220016529</v>
      </c>
      <c r="L24" s="584">
        <f t="shared" si="9"/>
        <v>6328.6293780031792</v>
      </c>
      <c r="M24" s="584">
        <f t="shared" si="10"/>
        <v>6184.8625573698782</v>
      </c>
      <c r="N24" s="584">
        <f t="shared" si="11"/>
        <v>6209.4169134788717</v>
      </c>
      <c r="O24" s="587">
        <f t="shared" si="12"/>
        <v>76257.000000000015</v>
      </c>
    </row>
    <row r="25" spans="1:18" x14ac:dyDescent="0.2">
      <c r="A25" s="557" t="s">
        <v>161</v>
      </c>
      <c r="B25" s="569">
        <v>3.7699999999999997E-2</v>
      </c>
      <c r="C25" s="584">
        <f t="shared" si="0"/>
        <v>54505.728935400104</v>
      </c>
      <c r="D25" s="584">
        <f t="shared" si="1"/>
        <v>83156.91586500562</v>
      </c>
      <c r="E25" s="584">
        <f t="shared" si="2"/>
        <v>57168.362849902842</v>
      </c>
      <c r="F25" s="584">
        <f t="shared" si="3"/>
        <v>64939.668847210218</v>
      </c>
      <c r="G25" s="584">
        <f t="shared" si="4"/>
        <v>61870.831540081279</v>
      </c>
      <c r="H25" s="584">
        <f t="shared" si="5"/>
        <v>64683.211981987362</v>
      </c>
      <c r="I25" s="584">
        <f t="shared" si="6"/>
        <v>65732.506998093333</v>
      </c>
      <c r="J25" s="584">
        <f t="shared" si="7"/>
        <v>68194.157300919396</v>
      </c>
      <c r="K25" s="584">
        <f t="shared" si="8"/>
        <v>65974.355248503314</v>
      </c>
      <c r="L25" s="584">
        <f t="shared" si="9"/>
        <v>64483.602040735088</v>
      </c>
      <c r="M25" s="584">
        <f t="shared" si="10"/>
        <v>63018.73470617416</v>
      </c>
      <c r="N25" s="584">
        <f t="shared" si="11"/>
        <v>63268.923685987415</v>
      </c>
      <c r="O25" s="587">
        <f t="shared" si="12"/>
        <v>776997</v>
      </c>
    </row>
    <row r="26" spans="1:18" ht="13.5" thickBot="1" x14ac:dyDescent="0.25">
      <c r="A26" s="557" t="s">
        <v>162</v>
      </c>
      <c r="B26" s="570">
        <v>4.5999999999999999E-2</v>
      </c>
      <c r="C26" s="584">
        <f t="shared" si="0"/>
        <v>66505.663953008087</v>
      </c>
      <c r="D26" s="584">
        <f t="shared" si="1"/>
        <v>101464.6718777257</v>
      </c>
      <c r="E26" s="584">
        <f t="shared" si="2"/>
        <v>69754.501090067133</v>
      </c>
      <c r="F26" s="584">
        <f t="shared" si="3"/>
        <v>79236.731219407695</v>
      </c>
      <c r="G26" s="584">
        <f t="shared" si="4"/>
        <v>75492.261295589895</v>
      </c>
      <c r="H26" s="584">
        <f t="shared" si="5"/>
        <v>78923.813028419594</v>
      </c>
      <c r="I26" s="584">
        <f t="shared" si="6"/>
        <v>80204.119944623177</v>
      </c>
      <c r="J26" s="584">
        <f t="shared" si="7"/>
        <v>83207.725088654974</v>
      </c>
      <c r="K26" s="584">
        <f t="shared" si="8"/>
        <v>80499.213300561081</v>
      </c>
      <c r="L26" s="584">
        <f t="shared" si="9"/>
        <v>78680.257131931416</v>
      </c>
      <c r="M26" s="584">
        <f t="shared" si="10"/>
        <v>76892.88584838227</v>
      </c>
      <c r="N26" s="584">
        <f t="shared" si="11"/>
        <v>77198.156221629208</v>
      </c>
      <c r="O26" s="587">
        <f t="shared" si="12"/>
        <v>948060.00000000023</v>
      </c>
    </row>
    <row r="27" spans="1:18" ht="13.5" thickBot="1" x14ac:dyDescent="0.25">
      <c r="A27" s="562" t="s">
        <v>280</v>
      </c>
      <c r="B27" s="563">
        <f>SUM(B7:B26)</f>
        <v>1</v>
      </c>
      <c r="C27" s="592">
        <f>'X22.55 POE'!B39</f>
        <v>1445775.3033262629</v>
      </c>
      <c r="D27" s="592">
        <f>'X22.55 POE'!C39</f>
        <v>2205753.7364722979</v>
      </c>
      <c r="E27" s="592">
        <f>'X22.55 POE'!D39</f>
        <v>1516402.197610155</v>
      </c>
      <c r="F27" s="592">
        <f>'X22.55 POE'!E39</f>
        <v>1722537.6352045152</v>
      </c>
      <c r="G27" s="592">
        <f>'X22.55 POE'!F39</f>
        <v>1641136.1151215194</v>
      </c>
      <c r="H27" s="592">
        <f>'X22.55 POE'!G39</f>
        <v>1715735.0658352086</v>
      </c>
      <c r="I27" s="592">
        <f>'X22.55 POE'!H39</f>
        <v>1743567.8248831125</v>
      </c>
      <c r="J27" s="592">
        <f>'X22.55 POE'!I39</f>
        <v>1808863.5888838039</v>
      </c>
      <c r="K27" s="592">
        <f>'X22.55 POE'!J39</f>
        <v>1749982.8978382845</v>
      </c>
      <c r="L27" s="592">
        <f>'X22.55 POE'!K39</f>
        <v>1710440.3724332915</v>
      </c>
      <c r="M27" s="592">
        <f>'X22.55 POE'!L39</f>
        <v>1671584.474964832</v>
      </c>
      <c r="N27" s="592">
        <f>'X22.55 POE'!M39</f>
        <v>1678220.787426722</v>
      </c>
      <c r="O27" s="592">
        <f t="shared" ref="O27" si="13">SUM(O7:O26)</f>
        <v>20610000.000000004</v>
      </c>
      <c r="Q27" s="552">
        <v>7916554.8000000026</v>
      </c>
      <c r="R27" s="561">
        <f>Q27+O27</f>
        <v>28526554.800000004</v>
      </c>
    </row>
    <row r="28" spans="1:18" hidden="1" x14ac:dyDescent="0.2">
      <c r="A28" s="573" t="s">
        <v>308</v>
      </c>
      <c r="B28" s="573"/>
      <c r="C28" s="574">
        <f>'[3]PRESUPUSTO ESTATAL 2017'!B52</f>
        <v>1521250.4468291907</v>
      </c>
      <c r="D28" s="574">
        <f>'[3]PRESUPUSTO ESTATAL 2017'!C52</f>
        <v>1992155.4322061262</v>
      </c>
      <c r="E28" s="574">
        <f>'[3]PRESUPUSTO ESTATAL 2017'!D52</f>
        <v>1561223.5204092669</v>
      </c>
      <c r="F28" s="574">
        <f>'[3]PRESUPUSTO ESTATAL 2017'!E52</f>
        <v>1709133.4840227321</v>
      </c>
      <c r="G28" s="574">
        <f>'[3]PRESUPUSTO ESTATAL 2017'!F52</f>
        <v>1794276.5472658337</v>
      </c>
      <c r="H28" s="574">
        <f>'[3]PRESUPUSTO ESTATAL 2017'!G52</f>
        <v>1664193.9164477964</v>
      </c>
      <c r="I28" s="574">
        <f>'[3]PRESUPUSTO ESTATAL 2017'!H52</f>
        <v>1722567.8942233375</v>
      </c>
      <c r="J28" s="574">
        <f>'[3]PRESUPUSTO ESTATAL 2017'!I52</f>
        <v>1774773.0179705636</v>
      </c>
      <c r="K28" s="574">
        <f>'[3]PRESUPUSTO ESTATAL 2017'!J52</f>
        <v>1814273.0193366187</v>
      </c>
      <c r="L28" s="574">
        <f>'[3]PRESUPUSTO ESTATAL 2017'!K52</f>
        <v>1772942.0603667807</v>
      </c>
      <c r="M28" s="574">
        <f>'[3]PRESUPUSTO ESTATAL 2017'!L52</f>
        <v>1696337.0334839264</v>
      </c>
      <c r="N28" s="574">
        <f>'[3]PRESUPUSTO ESTATAL 2017'!M52</f>
        <v>1676873.6274378267</v>
      </c>
      <c r="O28" s="574">
        <f>SUM(C28:N28)</f>
        <v>20700000</v>
      </c>
    </row>
    <row r="29" spans="1:18" hidden="1" x14ac:dyDescent="0.2">
      <c r="A29" s="575" t="s">
        <v>309</v>
      </c>
      <c r="B29" s="575"/>
      <c r="C29" s="576">
        <f>C28-C27</f>
        <v>75475.143502927851</v>
      </c>
      <c r="D29" s="576">
        <f t="shared" ref="D29:O29" si="14">D28-D27</f>
        <v>-213598.30426617176</v>
      </c>
      <c r="E29" s="576">
        <f t="shared" si="14"/>
        <v>44821.322799111949</v>
      </c>
      <c r="F29" s="576">
        <f t="shared" si="14"/>
        <v>-13404.151181783061</v>
      </c>
      <c r="G29" s="576">
        <f t="shared" si="14"/>
        <v>153140.43214431428</v>
      </c>
      <c r="H29" s="576">
        <f t="shared" si="14"/>
        <v>-51541.149387412239</v>
      </c>
      <c r="I29" s="576">
        <f t="shared" si="14"/>
        <v>-20999.930659774924</v>
      </c>
      <c r="J29" s="576">
        <f t="shared" si="14"/>
        <v>-34090.570913240314</v>
      </c>
      <c r="K29" s="576">
        <f t="shared" si="14"/>
        <v>64290.121498334222</v>
      </c>
      <c r="L29" s="576">
        <f t="shared" si="14"/>
        <v>62501.687933489215</v>
      </c>
      <c r="M29" s="576">
        <f t="shared" si="14"/>
        <v>24752.558519094484</v>
      </c>
      <c r="N29" s="576">
        <f t="shared" si="14"/>
        <v>-1347.1599888952915</v>
      </c>
      <c r="O29" s="576">
        <f t="shared" si="14"/>
        <v>89999.999999996275</v>
      </c>
    </row>
    <row r="30" spans="1:18" ht="13.5" thickBot="1" x14ac:dyDescent="0.25">
      <c r="A30" s="566" t="s">
        <v>281</v>
      </c>
    </row>
    <row r="31" spans="1:18" x14ac:dyDescent="0.2">
      <c r="A31" s="602" t="s">
        <v>322</v>
      </c>
      <c r="C31" s="561">
        <f>'X22.55 POE'!B38</f>
        <v>2518190.3250000002</v>
      </c>
      <c r="D31" s="561">
        <f>'X22.55 POE'!C38</f>
        <v>5755844.4749999996</v>
      </c>
      <c r="E31" s="561">
        <f>'X22.55 POE'!D38</f>
        <v>2390746.5</v>
      </c>
      <c r="F31" s="561">
        <f>'X22.55 POE'!E38</f>
        <v>2323470.8250000007</v>
      </c>
      <c r="G31" s="561">
        <f>'X22.55 POE'!F38</f>
        <v>2565239.625</v>
      </c>
      <c r="H31" s="561">
        <f>'X22.55 POE'!G38</f>
        <v>2660204.4750000001</v>
      </c>
      <c r="I31" s="561">
        <f>'X22.55 POE'!H38</f>
        <v>2739519</v>
      </c>
      <c r="J31" s="561">
        <f>'X22.55 POE'!I38</f>
        <v>3034584.9000000004</v>
      </c>
      <c r="K31" s="561">
        <f>'X22.55 POE'!J38</f>
        <v>3040943.85</v>
      </c>
      <c r="L31" s="561">
        <f>'X22.55 POE'!K38</f>
        <v>3007145.9250000003</v>
      </c>
      <c r="M31" s="561">
        <f>'X22.55 POE'!L38</f>
        <v>2909922.3</v>
      </c>
      <c r="N31" s="561">
        <f>'X22.55 POE'!M38</f>
        <v>2905508.2500000005</v>
      </c>
      <c r="O31" s="561">
        <f>SUM(C31:N31)</f>
        <v>35851320.450000003</v>
      </c>
    </row>
    <row r="32" spans="1:18" x14ac:dyDescent="0.2">
      <c r="A32" s="605" t="s">
        <v>323</v>
      </c>
      <c r="C32" s="595">
        <f>'X22.55 POE'!B39</f>
        <v>1445775.3033262629</v>
      </c>
      <c r="D32" s="595">
        <f>'X22.55 POE'!C39</f>
        <v>2205753.7364722979</v>
      </c>
      <c r="E32" s="595">
        <f>'X22.55 POE'!D39</f>
        <v>1516402.197610155</v>
      </c>
      <c r="F32" s="595">
        <f>'X22.55 POE'!E39</f>
        <v>1722537.6352045152</v>
      </c>
      <c r="G32" s="595">
        <f>'X22.55 POE'!F39</f>
        <v>1641136.1151215194</v>
      </c>
      <c r="H32" s="595">
        <f>'X22.55 POE'!G39</f>
        <v>1715735.0658352086</v>
      </c>
      <c r="I32" s="595">
        <f>'X22.55 POE'!H39</f>
        <v>1743567.8248831125</v>
      </c>
      <c r="J32" s="595">
        <f>'X22.55 POE'!I39</f>
        <v>1808863.5888838039</v>
      </c>
      <c r="K32" s="595">
        <f>'X22.55 POE'!J39</f>
        <v>1749982.8978382845</v>
      </c>
      <c r="L32" s="595">
        <f>'X22.55 POE'!K39</f>
        <v>1710440.3724332915</v>
      </c>
      <c r="M32" s="595">
        <f>'X22.55 POE'!L39</f>
        <v>1671584.474964832</v>
      </c>
      <c r="N32" s="595">
        <f>'X22.55 POE'!M39</f>
        <v>1678220.787426722</v>
      </c>
      <c r="O32" s="595">
        <f>SUM(C32:N32)</f>
        <v>20610000.000000004</v>
      </c>
    </row>
    <row r="33" spans="1:15" ht="13.5" thickBot="1" x14ac:dyDescent="0.25">
      <c r="A33" s="609" t="s">
        <v>309</v>
      </c>
      <c r="C33" s="595">
        <f>C31-C32</f>
        <v>1072415.0216737373</v>
      </c>
      <c r="D33" s="595">
        <f t="shared" ref="D33:N33" si="15">D31-D32</f>
        <v>3550090.7385277017</v>
      </c>
      <c r="E33" s="595">
        <f t="shared" si="15"/>
        <v>874344.30238984502</v>
      </c>
      <c r="F33" s="595">
        <f t="shared" si="15"/>
        <v>600933.18979548546</v>
      </c>
      <c r="G33" s="595">
        <f t="shared" si="15"/>
        <v>924103.50987848057</v>
      </c>
      <c r="H33" s="595">
        <f t="shared" si="15"/>
        <v>944469.40916479146</v>
      </c>
      <c r="I33" s="595">
        <f t="shared" si="15"/>
        <v>995951.17511688755</v>
      </c>
      <c r="J33" s="595">
        <f t="shared" si="15"/>
        <v>1225721.3111161964</v>
      </c>
      <c r="K33" s="595">
        <f t="shared" si="15"/>
        <v>1290960.9521617156</v>
      </c>
      <c r="L33" s="595">
        <f t="shared" si="15"/>
        <v>1296705.5525667088</v>
      </c>
      <c r="M33" s="595">
        <f t="shared" si="15"/>
        <v>1238337.8250351679</v>
      </c>
      <c r="N33" s="595">
        <f t="shared" si="15"/>
        <v>1227287.4625732785</v>
      </c>
      <c r="O33" s="595">
        <f>SUM(C33:N33)</f>
        <v>15241320.449999997</v>
      </c>
    </row>
    <row r="34" spans="1:15" x14ac:dyDescent="0.2">
      <c r="C34" s="561"/>
      <c r="D34" s="561"/>
      <c r="E34" s="561"/>
      <c r="F34" s="561"/>
      <c r="G34" s="561"/>
      <c r="H34" s="561"/>
      <c r="I34" s="561"/>
      <c r="J34" s="561"/>
      <c r="K34" s="561"/>
      <c r="L34" s="561"/>
      <c r="M34" s="561"/>
      <c r="N34" s="561"/>
      <c r="O34" s="561"/>
    </row>
    <row r="38" spans="1:15" x14ac:dyDescent="0.2">
      <c r="K38" s="561"/>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7" tint="0.59999389629810485"/>
  </sheetPr>
  <dimension ref="A1:O36"/>
  <sheetViews>
    <sheetView workbookViewId="0">
      <selection activeCell="A3" sqref="A3"/>
    </sheetView>
  </sheetViews>
  <sheetFormatPr baseColWidth="10" defaultRowHeight="12.75" x14ac:dyDescent="0.2"/>
  <cols>
    <col min="1" max="1" width="16.85546875" style="552" customWidth="1"/>
    <col min="2" max="2" width="9.28515625" style="552" hidden="1" customWidth="1"/>
    <col min="3" max="10" width="7.85546875" style="552" customWidth="1"/>
    <col min="11" max="11" width="9.5703125" style="552" customWidth="1"/>
    <col min="12" max="12" width="7.85546875" style="552" customWidth="1"/>
    <col min="13" max="13" width="9.42578125" style="552" customWidth="1"/>
    <col min="14" max="14" width="9.28515625" style="552" customWidth="1"/>
    <col min="15" max="15" width="11.42578125" style="552" bestFit="1" customWidth="1"/>
    <col min="16"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5" t="s">
        <v>367</v>
      </c>
      <c r="B2" s="1215"/>
      <c r="C2" s="1215"/>
      <c r="D2" s="1215"/>
      <c r="E2" s="1215"/>
      <c r="F2" s="1215"/>
      <c r="G2" s="1215"/>
      <c r="H2" s="1215"/>
      <c r="I2" s="1215"/>
      <c r="J2" s="1215"/>
      <c r="K2" s="1215"/>
      <c r="L2" s="1215"/>
      <c r="M2" s="1215"/>
      <c r="N2" s="1215"/>
      <c r="O2" s="1215"/>
    </row>
    <row r="3" spans="1:15" ht="13.5" thickBot="1" x14ac:dyDescent="0.25"/>
    <row r="4" spans="1:15" ht="23.25" thickBot="1" x14ac:dyDescent="0.25">
      <c r="A4" s="553" t="s">
        <v>307</v>
      </c>
      <c r="B4" s="554" t="s">
        <v>273</v>
      </c>
      <c r="C4" s="553" t="s">
        <v>1</v>
      </c>
      <c r="D4" s="555" t="s">
        <v>2</v>
      </c>
      <c r="E4" s="553" t="s">
        <v>3</v>
      </c>
      <c r="F4" s="555" t="s">
        <v>4</v>
      </c>
      <c r="G4" s="553" t="s">
        <v>5</v>
      </c>
      <c r="H4" s="553" t="s">
        <v>6</v>
      </c>
      <c r="I4" s="553" t="s">
        <v>7</v>
      </c>
      <c r="J4" s="555" t="s">
        <v>8</v>
      </c>
      <c r="K4" s="553" t="s">
        <v>9</v>
      </c>
      <c r="L4" s="555" t="s">
        <v>10</v>
      </c>
      <c r="M4" s="553" t="s">
        <v>11</v>
      </c>
      <c r="N4" s="553" t="s">
        <v>12</v>
      </c>
      <c r="O4" s="556" t="s">
        <v>165</v>
      </c>
    </row>
    <row r="5" spans="1:15" ht="12.75" customHeight="1" x14ac:dyDescent="0.2">
      <c r="A5" s="557" t="s">
        <v>274</v>
      </c>
      <c r="B5" s="568"/>
      <c r="C5" s="559">
        <f>'IEPS INCREMENTO'!C7+'IEPS ESTIMACIONES'!C7</f>
        <v>110584.29803474162</v>
      </c>
      <c r="D5" s="559">
        <f>'IEPS INCREMENTO'!D7+'IEPS ESTIMACIONES'!D7</f>
        <v>264411.23414339364</v>
      </c>
      <c r="E5" s="559">
        <f>'IEPS INCREMENTO'!E7+'IEPS ESTIMACIONES'!E7</f>
        <v>103463.46170533236</v>
      </c>
      <c r="F5" s="559">
        <f>'IEPS INCREMENTO'!F7+'IEPS ESTIMACIONES'!F7</f>
        <v>97914.642316832163</v>
      </c>
      <c r="G5" s="559">
        <f>'IEPS INCREMENTO'!G7+'IEPS ESTIMACIONES'!G7</f>
        <v>110865.9384297119</v>
      </c>
      <c r="H5" s="559">
        <f>'IEPS INCREMENTO'!H7+'IEPS ESTIMACIONES'!H7</f>
        <v>114823.43205214679</v>
      </c>
      <c r="I5" s="559">
        <f>'IEPS INCREMENTO'!I7+'IEPS ESTIMACIONES'!I7</f>
        <v>118494.13105623901</v>
      </c>
      <c r="J5" s="559">
        <f>'IEPS INCREMENTO'!J7+'IEPS ESTIMACIONES'!J7</f>
        <v>132555.29095783169</v>
      </c>
      <c r="K5" s="559">
        <f>'IEPS INCREMENTO'!K7+'IEPS ESTIMACIONES'!K7</f>
        <v>133497.37378291419</v>
      </c>
      <c r="L5" s="559">
        <f>'IEPS INCREMENTO'!L7+'IEPS ESTIMACIONES'!L7</f>
        <v>132226.62830220713</v>
      </c>
      <c r="M5" s="559">
        <f>'IEPS INCREMENTO'!M7+'IEPS ESTIMACIONES'!M7</f>
        <v>127777.31956537277</v>
      </c>
      <c r="N5" s="559">
        <f>'IEPS INCREMENTO'!N7+'IEPS ESTIMACIONES'!N7</f>
        <v>127486.27215327676</v>
      </c>
      <c r="O5" s="560">
        <f>SUM(C5:N5)</f>
        <v>1574100.0225</v>
      </c>
    </row>
    <row r="6" spans="1:15" ht="12.75" customHeight="1" x14ac:dyDescent="0.2">
      <c r="A6" s="557" t="s">
        <v>144</v>
      </c>
      <c r="B6" s="569"/>
      <c r="C6" s="559">
        <f>'IEPS INCREMENTO'!C8+'IEPS ESTIMACIONES'!C8</f>
        <v>137186.56361594485</v>
      </c>
      <c r="D6" s="559">
        <f>'IEPS INCREMENTO'!D8+'IEPS ESTIMACIONES'!D8</f>
        <v>304997.10289448395</v>
      </c>
      <c r="E6" s="559">
        <f>'IEPS INCREMENTO'!E8+'IEPS ESTIMACIONES'!E8</f>
        <v>131365.26214135921</v>
      </c>
      <c r="F6" s="559">
        <f>'IEPS INCREMENTO'!F8+'IEPS ESTIMACIONES'!F8</f>
        <v>129609.33480459524</v>
      </c>
      <c r="G6" s="559">
        <f>'IEPS INCREMENTO'!G8+'IEPS ESTIMACIONES'!G8</f>
        <v>141062.84294794785</v>
      </c>
      <c r="H6" s="559">
        <f>'IEPS INCREMENTO'!H8+'IEPS ESTIMACIONES'!H8</f>
        <v>146392.95726351463</v>
      </c>
      <c r="I6" s="559">
        <f>'IEPS INCREMENTO'!I8+'IEPS ESTIMACIONES'!I8</f>
        <v>150575.77903408828</v>
      </c>
      <c r="J6" s="559">
        <f>'IEPS INCREMENTO'!J8+'IEPS ESTIMACIONES'!J8</f>
        <v>165838.38099329369</v>
      </c>
      <c r="K6" s="559">
        <f>'IEPS INCREMENTO'!K8+'IEPS ESTIMACIONES'!K8</f>
        <v>165697.05910313863</v>
      </c>
      <c r="L6" s="559">
        <f>'IEPS INCREMENTO'!L8+'IEPS ESTIMACIONES'!L8</f>
        <v>163698.73115497967</v>
      </c>
      <c r="M6" s="559">
        <f>'IEPS INCREMENTO'!M8+'IEPS ESTIMACIONES'!M8</f>
        <v>158534.47390472569</v>
      </c>
      <c r="N6" s="559">
        <f>'IEPS INCREMENTO'!N8+'IEPS ESTIMACIONES'!N8</f>
        <v>158365.53464192845</v>
      </c>
      <c r="O6" s="560">
        <f t="shared" ref="O6:O24" si="0">SUM(C6:N6)</f>
        <v>1953324.0225</v>
      </c>
    </row>
    <row r="7" spans="1:15" ht="12.75" customHeight="1" x14ac:dyDescent="0.2">
      <c r="A7" s="557" t="s">
        <v>145</v>
      </c>
      <c r="B7" s="569"/>
      <c r="C7" s="559">
        <f>'IEPS INCREMENTO'!C9+'IEPS ESTIMACIONES'!C9</f>
        <v>142102.19964725414</v>
      </c>
      <c r="D7" s="559">
        <f>'IEPS INCREMENTO'!D9+'IEPS ESTIMACIONES'!D9</f>
        <v>312496.66559848969</v>
      </c>
      <c r="E7" s="559">
        <f>'IEPS INCREMENTO'!E9+'IEPS ESTIMACIONES'!E9</f>
        <v>136521.02961323372</v>
      </c>
      <c r="F7" s="559">
        <f>'IEPS INCREMENTO'!F9+'IEPS ESTIMACIONES'!F9</f>
        <v>135465.9627642906</v>
      </c>
      <c r="G7" s="559">
        <f>'IEPS INCREMENTO'!G9+'IEPS ESTIMACIONES'!G9</f>
        <v>146642.705739361</v>
      </c>
      <c r="H7" s="559">
        <f>'IEPS INCREMENTO'!H9+'IEPS ESTIMACIONES'!H9</f>
        <v>152226.45648735436</v>
      </c>
      <c r="I7" s="559">
        <f>'IEPS INCREMENTO'!I9+'IEPS ESTIMACIONES'!I9</f>
        <v>156503.90963869085</v>
      </c>
      <c r="J7" s="559">
        <f>'IEPS INCREMENTO'!J9+'IEPS ESTIMACIONES'!J9</f>
        <v>171988.51719549863</v>
      </c>
      <c r="K7" s="559">
        <f>'IEPS INCREMENTO'!K9+'IEPS ESTIMACIONES'!K9</f>
        <v>171647.00095578877</v>
      </c>
      <c r="L7" s="559">
        <f>'IEPS INCREMENTO'!L9+'IEPS ESTIMACIONES'!L9</f>
        <v>169514.22842125289</v>
      </c>
      <c r="M7" s="559">
        <f>'IEPS INCREMENTO'!M9+'IEPS ESTIMACIONES'!M9</f>
        <v>164217.86111960612</v>
      </c>
      <c r="N7" s="559">
        <f>'IEPS INCREMENTO'!N9+'IEPS ESTIMACIONES'!N9</f>
        <v>164071.48531917931</v>
      </c>
      <c r="O7" s="560">
        <f t="shared" si="0"/>
        <v>2023398.0225</v>
      </c>
    </row>
    <row r="8" spans="1:15" ht="12.75" customHeight="1" x14ac:dyDescent="0.2">
      <c r="A8" s="557" t="s">
        <v>275</v>
      </c>
      <c r="B8" s="569"/>
      <c r="C8" s="559">
        <f>'IEPS INCREMENTO'!C10+'IEPS ESTIMACIONES'!C10</f>
        <v>127066.13649266101</v>
      </c>
      <c r="D8" s="559">
        <f>'IEPS INCREMENTO'!D10+'IEPS ESTIMACIONES'!D10</f>
        <v>289556.82673917781</v>
      </c>
      <c r="E8" s="559">
        <f>'IEPS INCREMENTO'!E10+'IEPS ESTIMACIONES'!E10</f>
        <v>120750.44675808813</v>
      </c>
      <c r="F8" s="559">
        <f>'IEPS INCREMENTO'!F10+'IEPS ESTIMACIONES'!F10</f>
        <v>117551.57135816364</v>
      </c>
      <c r="G8" s="559">
        <f>'IEPS INCREMENTO'!G10+'IEPS ESTIMACIONES'!G10</f>
        <v>129574.89014209723</v>
      </c>
      <c r="H8" s="559">
        <f>'IEPS INCREMENTO'!H10+'IEPS ESTIMACIONES'!H10</f>
        <v>134382.81180266818</v>
      </c>
      <c r="I8" s="559">
        <f>'IEPS INCREMENTO'!I10+'IEPS ESTIMACIONES'!I10</f>
        <v>138370.80425990649</v>
      </c>
      <c r="J8" s="559">
        <f>'IEPS INCREMENTO'!J10+'IEPS ESTIMACIONES'!J10</f>
        <v>153176.33587110706</v>
      </c>
      <c r="K8" s="559">
        <f>'IEPS INCREMENTO'!K10+'IEPS ESTIMACIONES'!K10</f>
        <v>153447.17881827062</v>
      </c>
      <c r="L8" s="559">
        <f>'IEPS INCREMENTO'!L10+'IEPS ESTIMACIONES'!L10</f>
        <v>151725.64854794665</v>
      </c>
      <c r="M8" s="559">
        <f>'IEPS INCREMENTO'!M10+'IEPS ESTIMACIONES'!M10</f>
        <v>146833.38257997186</v>
      </c>
      <c r="N8" s="559">
        <f>'IEPS INCREMENTO'!N10+'IEPS ESTIMACIONES'!N10</f>
        <v>146617.98912994139</v>
      </c>
      <c r="O8" s="560">
        <f t="shared" si="0"/>
        <v>1809054.0225</v>
      </c>
    </row>
    <row r="9" spans="1:15" ht="12.75" customHeight="1" x14ac:dyDescent="0.2">
      <c r="A9" s="557" t="s">
        <v>147</v>
      </c>
      <c r="B9" s="569"/>
      <c r="C9" s="559">
        <f>'IEPS INCREMENTO'!C11+'IEPS ESTIMACIONES'!C11</f>
        <v>98006.052895803135</v>
      </c>
      <c r="D9" s="559">
        <f>'IEPS INCREMENTO'!D11+'IEPS ESTIMACIONES'!D11</f>
        <v>245221.17663608465</v>
      </c>
      <c r="E9" s="559">
        <f>'IEPS INCREMENTO'!E11+'IEPS ESTIMACIONES'!E11</f>
        <v>90270.762586124009</v>
      </c>
      <c r="F9" s="559">
        <f>'IEPS INCREMENTO'!F11+'IEPS ESTIMACIONES'!F11</f>
        <v>82928.564890552894</v>
      </c>
      <c r="G9" s="559">
        <f>'IEPS INCREMENTO'!G11+'IEPS ESTIMACIONES'!G11</f>
        <v>96588.05422815468</v>
      </c>
      <c r="H9" s="559">
        <f>'IEPS INCREMENTO'!H11+'IEPS ESTIMACIONES'!H11</f>
        <v>99896.536979380486</v>
      </c>
      <c r="I9" s="559">
        <f>'IEPS INCREMENTO'!I11+'IEPS ESTIMACIONES'!I11</f>
        <v>103325.09097975593</v>
      </c>
      <c r="J9" s="559">
        <f>'IEPS INCREMENTO'!J11+'IEPS ESTIMACIONES'!J11</f>
        <v>116818.17773454261</v>
      </c>
      <c r="K9" s="559">
        <f>'IEPS INCREMENTO'!K11+'IEPS ESTIMACIONES'!K11</f>
        <v>118272.52257172111</v>
      </c>
      <c r="L9" s="559">
        <f>'IEPS INCREMENTO'!L11+'IEPS ESTIMACIONES'!L11</f>
        <v>117345.79706203748</v>
      </c>
      <c r="M9" s="559">
        <f>'IEPS INCREMENTO'!M11+'IEPS ESTIMACIONES'!M11</f>
        <v>113234.53463317873</v>
      </c>
      <c r="N9" s="559">
        <f>'IEPS INCREMENTO'!N11+'IEPS ESTIMACIONES'!N11</f>
        <v>112885.75130266428</v>
      </c>
      <c r="O9" s="560">
        <f t="shared" si="0"/>
        <v>1394793.0225</v>
      </c>
    </row>
    <row r="10" spans="1:15" ht="12.75" customHeight="1" x14ac:dyDescent="0.2">
      <c r="A10" s="557" t="s">
        <v>276</v>
      </c>
      <c r="B10" s="569"/>
      <c r="C10" s="559">
        <f>'IEPS INCREMENTO'!C12+'IEPS ESTIMACIONES'!C12</f>
        <v>191113.98243001447</v>
      </c>
      <c r="D10" s="559">
        <f>'IEPS INCREMENTO'!D12+'IEPS ESTIMACIONES'!D12</f>
        <v>387271.71726490068</v>
      </c>
      <c r="E10" s="559">
        <f>'IEPS INCREMENTO'!E12+'IEPS ESTIMACIONES'!E12</f>
        <v>187927.06411221801</v>
      </c>
      <c r="F10" s="559">
        <f>'IEPS INCREMENTO'!F12+'IEPS ESTIMACIONES'!F12</f>
        <v>193859.98859772366</v>
      </c>
      <c r="G10" s="559">
        <f>'IEPS INCREMENTO'!G12+'IEPS ESTIMACIONES'!G12</f>
        <v>202277.22004198053</v>
      </c>
      <c r="H10" s="559">
        <f>'IEPS INCREMENTO'!H12+'IEPS ESTIMACIONES'!H12</f>
        <v>210389.87521916794</v>
      </c>
      <c r="I10" s="559">
        <f>'IEPS INCREMENTO'!I12+'IEPS ESTIMACIONES'!I12</f>
        <v>215610.85890222836</v>
      </c>
      <c r="J10" s="559">
        <f>'IEPS INCREMENTO'!J12+'IEPS ESTIMACIONES'!J12</f>
        <v>233308.99285865959</v>
      </c>
      <c r="K10" s="559">
        <f>'IEPS INCREMENTO'!K12+'IEPS ESTIMACIONES'!K12</f>
        <v>230971.42119250662</v>
      </c>
      <c r="L10" s="559">
        <f>'IEPS INCREMENTO'!L12+'IEPS ESTIMACIONES'!L12</f>
        <v>227498.15704674146</v>
      </c>
      <c r="M10" s="559">
        <f>'IEPS INCREMENTO'!M12+'IEPS ESTIMACIONES'!M12</f>
        <v>220884.5748209139</v>
      </c>
      <c r="N10" s="559">
        <f>'IEPS INCREMENTO'!N12+'IEPS ESTIMACIONES'!N12</f>
        <v>220963.17001294519</v>
      </c>
      <c r="O10" s="560">
        <f t="shared" si="0"/>
        <v>2722077.0225000004</v>
      </c>
    </row>
    <row r="11" spans="1:15" ht="12.75" customHeight="1" x14ac:dyDescent="0.2">
      <c r="A11" s="557" t="s">
        <v>149</v>
      </c>
      <c r="B11" s="569"/>
      <c r="C11" s="559">
        <f>'IEPS INCREMENTO'!C13+'IEPS ESTIMACIONES'!C13</f>
        <v>188511.58688402717</v>
      </c>
      <c r="D11" s="559">
        <f>'IEPS INCREMENTO'!D13+'IEPS ESTIMACIONES'!D13</f>
        <v>383301.36053925048</v>
      </c>
      <c r="E11" s="559">
        <f>'IEPS INCREMENTO'!E13+'IEPS ESTIMACIONES'!E13</f>
        <v>185197.54015651971</v>
      </c>
      <c r="F11" s="559">
        <f>'IEPS INCREMENTO'!F13+'IEPS ESTIMACIONES'!F13</f>
        <v>190759.42085435556</v>
      </c>
      <c r="G11" s="559">
        <f>'IEPS INCREMENTO'!G13+'IEPS ESTIMACIONES'!G13</f>
        <v>199323.17503476178</v>
      </c>
      <c r="H11" s="559">
        <f>'IEPS INCREMENTO'!H13+'IEPS ESTIMACIONES'!H13</f>
        <v>207301.55210066453</v>
      </c>
      <c r="I11" s="559">
        <f>'IEPS INCREMENTO'!I13+'IEPS ESTIMACIONES'!I13</f>
        <v>212472.43681743875</v>
      </c>
      <c r="J11" s="559">
        <f>'IEPS INCREMENTO'!J13+'IEPS ESTIMACIONES'!J13</f>
        <v>230053.03839866872</v>
      </c>
      <c r="K11" s="559">
        <f>'IEPS INCREMENTO'!K13+'IEPS ESTIMACIONES'!K13</f>
        <v>227821.45197639772</v>
      </c>
      <c r="L11" s="559">
        <f>'IEPS INCREMENTO'!L13+'IEPS ESTIMACIONES'!L13</f>
        <v>224419.36437636151</v>
      </c>
      <c r="M11" s="559">
        <f>'IEPS INCREMENTO'!M13+'IEPS ESTIMACIONES'!M13</f>
        <v>217875.7227659772</v>
      </c>
      <c r="N11" s="559">
        <f>'IEPS INCREMENTO'!N13+'IEPS ESTIMACIONES'!N13</f>
        <v>217942.37259557706</v>
      </c>
      <c r="O11" s="560">
        <f t="shared" si="0"/>
        <v>2684979.0225</v>
      </c>
    </row>
    <row r="12" spans="1:15" ht="12.75" customHeight="1" x14ac:dyDescent="0.2">
      <c r="A12" s="557" t="s">
        <v>150</v>
      </c>
      <c r="B12" s="569"/>
      <c r="C12" s="559">
        <f>'IEPS INCREMENTO'!C14+'IEPS ESTIMACIONES'!C14</f>
        <v>118969.79479403394</v>
      </c>
      <c r="D12" s="559">
        <f>'IEPS INCREMENTO'!D14+'IEPS ESTIMACIONES'!D14</f>
        <v>277204.60581493296</v>
      </c>
      <c r="E12" s="559">
        <f>'IEPS INCREMENTO'!E14+'IEPS ESTIMACIONES'!E14</f>
        <v>112258.59445147126</v>
      </c>
      <c r="F12" s="559">
        <f>'IEPS INCREMENTO'!F14+'IEPS ESTIMACIONES'!F14</f>
        <v>107905.36060101836</v>
      </c>
      <c r="G12" s="559">
        <f>'IEPS INCREMENTO'!G14+'IEPS ESTIMACIONES'!G14</f>
        <v>120384.5278974167</v>
      </c>
      <c r="H12" s="559">
        <f>'IEPS INCREMENTO'!H14+'IEPS ESTIMACIONES'!H14</f>
        <v>124774.695433991</v>
      </c>
      <c r="I12" s="559">
        <f>'IEPS INCREMENTO'!I14+'IEPS ESTIMACIONES'!I14</f>
        <v>128606.82444056106</v>
      </c>
      <c r="J12" s="559">
        <f>'IEPS INCREMENTO'!J14+'IEPS ESTIMACIONES'!J14</f>
        <v>143046.69977335777</v>
      </c>
      <c r="K12" s="559">
        <f>'IEPS INCREMENTO'!K14+'IEPS ESTIMACIONES'!K14</f>
        <v>143647.27459037624</v>
      </c>
      <c r="L12" s="559">
        <f>'IEPS INCREMENTO'!L14+'IEPS ESTIMACIONES'!L14</f>
        <v>142147.1824623202</v>
      </c>
      <c r="M12" s="559">
        <f>'IEPS INCREMENTO'!M14+'IEPS ESTIMACIONES'!M14</f>
        <v>137472.50952016879</v>
      </c>
      <c r="N12" s="559">
        <f>'IEPS INCREMENTO'!N14+'IEPS ESTIMACIONES'!N14</f>
        <v>137219.95272035175</v>
      </c>
      <c r="O12" s="560">
        <f t="shared" si="0"/>
        <v>1693638.0225000002</v>
      </c>
    </row>
    <row r="13" spans="1:15" ht="12.75" customHeight="1" x14ac:dyDescent="0.2">
      <c r="A13" s="557" t="s">
        <v>151</v>
      </c>
      <c r="B13" s="569"/>
      <c r="C13" s="559">
        <f>'IEPS INCREMENTO'!C15+'IEPS ESTIMACIONES'!C15</f>
        <v>127066.13649266101</v>
      </c>
      <c r="D13" s="559">
        <f>'IEPS INCREMENTO'!D15+'IEPS ESTIMACIONES'!D15</f>
        <v>289556.82673917781</v>
      </c>
      <c r="E13" s="559">
        <f>'IEPS INCREMENTO'!E15+'IEPS ESTIMACIONES'!E15</f>
        <v>120750.44675808813</v>
      </c>
      <c r="F13" s="559">
        <f>'IEPS INCREMENTO'!F15+'IEPS ESTIMACIONES'!F15</f>
        <v>117551.57135816364</v>
      </c>
      <c r="G13" s="559">
        <f>'IEPS INCREMENTO'!G15+'IEPS ESTIMACIONES'!G15</f>
        <v>129574.89014209723</v>
      </c>
      <c r="H13" s="559">
        <f>'IEPS INCREMENTO'!H15+'IEPS ESTIMACIONES'!H15</f>
        <v>134382.81180266818</v>
      </c>
      <c r="I13" s="559">
        <f>'IEPS INCREMENTO'!I15+'IEPS ESTIMACIONES'!I15</f>
        <v>138370.80425990649</v>
      </c>
      <c r="J13" s="559">
        <f>'IEPS INCREMENTO'!J15+'IEPS ESTIMACIONES'!J15</f>
        <v>153176.33587110706</v>
      </c>
      <c r="K13" s="559">
        <f>'IEPS INCREMENTO'!K15+'IEPS ESTIMACIONES'!K15</f>
        <v>153447.17881827062</v>
      </c>
      <c r="L13" s="559">
        <f>'IEPS INCREMENTO'!L15+'IEPS ESTIMACIONES'!L15</f>
        <v>151725.64854794665</v>
      </c>
      <c r="M13" s="559">
        <f>'IEPS INCREMENTO'!M15+'IEPS ESTIMACIONES'!M15</f>
        <v>146833.38257997186</v>
      </c>
      <c r="N13" s="559">
        <f>'IEPS INCREMENTO'!N15+'IEPS ESTIMACIONES'!N15</f>
        <v>146617.98912994139</v>
      </c>
      <c r="O13" s="560">
        <f t="shared" si="0"/>
        <v>1809054.0225</v>
      </c>
    </row>
    <row r="14" spans="1:15" ht="12.75" customHeight="1" x14ac:dyDescent="0.2">
      <c r="A14" s="557" t="s">
        <v>152</v>
      </c>
      <c r="B14" s="569"/>
      <c r="C14" s="559">
        <f>'IEPS INCREMENTO'!C16+'IEPS ESTIMACIONES'!C16</f>
        <v>182583.90814038951</v>
      </c>
      <c r="D14" s="559">
        <f>'IEPS INCREMENTO'!D16+'IEPS ESTIMACIONES'!D16</f>
        <v>374257.77021971409</v>
      </c>
      <c r="E14" s="559">
        <f>'IEPS INCREMENTO'!E16+'IEPS ESTIMACIONES'!E16</f>
        <v>178980.29114631808</v>
      </c>
      <c r="F14" s="559">
        <f>'IEPS INCREMENTO'!F16+'IEPS ESTIMACIONES'!F16</f>
        <v>183697.01655001706</v>
      </c>
      <c r="G14" s="559">
        <f>'IEPS INCREMENTO'!G16+'IEPS ESTIMACIONES'!G16</f>
        <v>192594.51696276356</v>
      </c>
      <c r="H14" s="559">
        <f>'IEPS INCREMENTO'!H16+'IEPS ESTIMACIONES'!H16</f>
        <v>200267.03833074018</v>
      </c>
      <c r="I14" s="559">
        <f>'IEPS INCREMENTO'!I16+'IEPS ESTIMACIONES'!I16</f>
        <v>205323.80873541799</v>
      </c>
      <c r="J14" s="559">
        <f>'IEPS INCREMENTO'!J16+'IEPS ESTIMACIONES'!J16</f>
        <v>222636.69768424513</v>
      </c>
      <c r="K14" s="559">
        <f>'IEPS INCREMENTO'!K16+'IEPS ESTIMACIONES'!K16</f>
        <v>220646.52209526073</v>
      </c>
      <c r="L14" s="559">
        <f>'IEPS INCREMENTO'!L16+'IEPS ESTIMACIONES'!L16</f>
        <v>217406.55884938504</v>
      </c>
      <c r="M14" s="559">
        <f>'IEPS INCREMENTO'!M16+'IEPS ESTIMACIONES'!M16</f>
        <v>211022.22641862143</v>
      </c>
      <c r="N14" s="559">
        <f>'IEPS INCREMENTO'!N16+'IEPS ESTIMACIONES'!N16</f>
        <v>211061.66736712752</v>
      </c>
      <c r="O14" s="560">
        <f t="shared" si="0"/>
        <v>2600478.0225000004</v>
      </c>
    </row>
    <row r="15" spans="1:15" ht="12.75" customHeight="1" x14ac:dyDescent="0.2">
      <c r="A15" s="557" t="s">
        <v>153</v>
      </c>
      <c r="B15" s="569"/>
      <c r="C15" s="559">
        <f>'IEPS INCREMENTO'!C17+'IEPS ESTIMACIONES'!C17</f>
        <v>126198.67131066526</v>
      </c>
      <c r="D15" s="559">
        <f>'IEPS INCREMENTO'!D17+'IEPS ESTIMACIONES'!D17</f>
        <v>288233.37449729443</v>
      </c>
      <c r="E15" s="559">
        <f>'IEPS INCREMENTO'!E17+'IEPS ESTIMACIONES'!E17</f>
        <v>119840.60543952204</v>
      </c>
      <c r="F15" s="559">
        <f>'IEPS INCREMENTO'!F17+'IEPS ESTIMACIONES'!F17</f>
        <v>116518.04877704094</v>
      </c>
      <c r="G15" s="559">
        <f>'IEPS INCREMENTO'!G17+'IEPS ESTIMACIONES'!G17</f>
        <v>128590.20847302431</v>
      </c>
      <c r="H15" s="559">
        <f>'IEPS INCREMENTO'!H17+'IEPS ESTIMACIONES'!H17</f>
        <v>133353.37076316704</v>
      </c>
      <c r="I15" s="559">
        <f>'IEPS INCREMENTO'!I17+'IEPS ESTIMACIONES'!I17</f>
        <v>137324.66356497662</v>
      </c>
      <c r="J15" s="559">
        <f>'IEPS INCREMENTO'!J17+'IEPS ESTIMACIONES'!J17</f>
        <v>152091.01771777676</v>
      </c>
      <c r="K15" s="559">
        <f>'IEPS INCREMENTO'!K17+'IEPS ESTIMACIONES'!K17</f>
        <v>152397.18907956767</v>
      </c>
      <c r="L15" s="559">
        <f>'IEPS INCREMENTO'!L17+'IEPS ESTIMACIONES'!L17</f>
        <v>150699.38432448669</v>
      </c>
      <c r="M15" s="559">
        <f>'IEPS INCREMENTO'!M17+'IEPS ESTIMACIONES'!M17</f>
        <v>145830.43189499294</v>
      </c>
      <c r="N15" s="559">
        <f>'IEPS INCREMENTO'!N17+'IEPS ESTIMACIONES'!N17</f>
        <v>145611.05665748537</v>
      </c>
      <c r="O15" s="560">
        <f t="shared" si="0"/>
        <v>1796688.0225</v>
      </c>
    </row>
    <row r="16" spans="1:15" ht="12.75" customHeight="1" x14ac:dyDescent="0.2">
      <c r="A16" s="557" t="s">
        <v>154</v>
      </c>
      <c r="B16" s="569"/>
      <c r="C16" s="559">
        <f>'IEPS INCREMENTO'!C18+'IEPS ESTIMACIONES'!C18</f>
        <v>115644.51159638354</v>
      </c>
      <c r="D16" s="559">
        <f>'IEPS INCREMENTO'!D18+'IEPS ESTIMACIONES'!D18</f>
        <v>272131.37222104671</v>
      </c>
      <c r="E16" s="559">
        <f>'IEPS INCREMENTO'!E18+'IEPS ESTIMACIONES'!E18</f>
        <v>108770.8693969679</v>
      </c>
      <c r="F16" s="559">
        <f>'IEPS INCREMENTO'!F18+'IEPS ESTIMACIONES'!F18</f>
        <v>103943.52404004798</v>
      </c>
      <c r="G16" s="559">
        <f>'IEPS INCREMENTO'!G18+'IEPS ESTIMACIONES'!G18</f>
        <v>116609.91483263722</v>
      </c>
      <c r="H16" s="559">
        <f>'IEPS INCREMENTO'!H18+'IEPS ESTIMACIONES'!H18</f>
        <v>120828.50478257003</v>
      </c>
      <c r="I16" s="559">
        <f>'IEPS INCREMENTO'!I18+'IEPS ESTIMACIONES'!I18</f>
        <v>124596.61844332991</v>
      </c>
      <c r="J16" s="559">
        <f>'IEPS INCREMENTO'!J18+'IEPS ESTIMACIONES'!J18</f>
        <v>138886.31351892502</v>
      </c>
      <c r="K16" s="559">
        <f>'IEPS INCREMENTO'!K18+'IEPS ESTIMACIONES'!K18</f>
        <v>139622.31392534816</v>
      </c>
      <c r="L16" s="559">
        <f>'IEPS INCREMENTO'!L18+'IEPS ESTIMACIONES'!L18</f>
        <v>138213.16960572364</v>
      </c>
      <c r="M16" s="559">
        <f>'IEPS INCREMENTO'!M18+'IEPS ESTIMACIONES'!M18</f>
        <v>133627.86522774969</v>
      </c>
      <c r="N16" s="559">
        <f>'IEPS INCREMENTO'!N18+'IEPS ESTIMACIONES'!N18</f>
        <v>133360.04490927031</v>
      </c>
      <c r="O16" s="560">
        <f t="shared" si="0"/>
        <v>1646235.0225000002</v>
      </c>
    </row>
    <row r="17" spans="1:15" ht="12.75" customHeight="1" x14ac:dyDescent="0.2">
      <c r="A17" s="557" t="s">
        <v>155</v>
      </c>
      <c r="B17" s="569"/>
      <c r="C17" s="559">
        <f>'IEPS INCREMENTO'!C19+'IEPS ESTIMACIONES'!C19</f>
        <v>97572.320304805253</v>
      </c>
      <c r="D17" s="559">
        <f>'IEPS INCREMENTO'!D19+'IEPS ESTIMACIONES'!D19</f>
        <v>244559.45051514296</v>
      </c>
      <c r="E17" s="559">
        <f>'IEPS INCREMENTO'!E19+'IEPS ESTIMACIONES'!E19</f>
        <v>89815.841926840963</v>
      </c>
      <c r="F17" s="559">
        <f>'IEPS INCREMENTO'!F19+'IEPS ESTIMACIONES'!F19</f>
        <v>82411.803599991545</v>
      </c>
      <c r="G17" s="559">
        <f>'IEPS INCREMENTO'!G19+'IEPS ESTIMACIONES'!G19</f>
        <v>96095.713393618222</v>
      </c>
      <c r="H17" s="559">
        <f>'IEPS INCREMENTO'!H19+'IEPS ESTIMACIONES'!H19</f>
        <v>99381.816459629918</v>
      </c>
      <c r="I17" s="559">
        <f>'IEPS INCREMENTO'!I19+'IEPS ESTIMACIONES'!I19</f>
        <v>102802.02063229099</v>
      </c>
      <c r="J17" s="559">
        <f>'IEPS INCREMENTO'!J19+'IEPS ESTIMACIONES'!J19</f>
        <v>116275.51865787746</v>
      </c>
      <c r="K17" s="559">
        <f>'IEPS INCREMENTO'!K19+'IEPS ESTIMACIONES'!K19</f>
        <v>117747.52770236963</v>
      </c>
      <c r="L17" s="559">
        <f>'IEPS INCREMENTO'!L19+'IEPS ESTIMACIONES'!L19</f>
        <v>116832.6649503075</v>
      </c>
      <c r="M17" s="559">
        <f>'IEPS INCREMENTO'!M19+'IEPS ESTIMACIONES'!M19</f>
        <v>112733.05929068929</v>
      </c>
      <c r="N17" s="559">
        <f>'IEPS INCREMENTO'!N19+'IEPS ESTIMACIONES'!N19</f>
        <v>112382.28506643628</v>
      </c>
      <c r="O17" s="560">
        <f t="shared" si="0"/>
        <v>1388610.0225</v>
      </c>
    </row>
    <row r="18" spans="1:15" ht="12.75" customHeight="1" x14ac:dyDescent="0.2">
      <c r="A18" s="557" t="s">
        <v>277</v>
      </c>
      <c r="B18" s="569"/>
      <c r="C18" s="559">
        <f>'IEPS INCREMENTO'!C20+'IEPS ESTIMACIONES'!C20</f>
        <v>150487.69640654646</v>
      </c>
      <c r="D18" s="559">
        <f>'IEPS INCREMENTO'!D20+'IEPS ESTIMACIONES'!D20</f>
        <v>325290.03727002908</v>
      </c>
      <c r="E18" s="559">
        <f>'IEPS INCREMENTO'!E20+'IEPS ESTIMACIONES'!E20</f>
        <v>145316.16235937265</v>
      </c>
      <c r="F18" s="559">
        <f>'IEPS INCREMENTO'!F20+'IEPS ESTIMACIONES'!F20</f>
        <v>145456.68104847681</v>
      </c>
      <c r="G18" s="559">
        <f>'IEPS INCREMENTO'!G20+'IEPS ESTIMACIONES'!G20</f>
        <v>156161.29520706582</v>
      </c>
      <c r="H18" s="559">
        <f>'IEPS INCREMENTO'!H20+'IEPS ESTIMACIONES'!H20</f>
        <v>162177.71986919857</v>
      </c>
      <c r="I18" s="559">
        <f>'IEPS INCREMENTO'!I20+'IEPS ESTIMACIONES'!I20</f>
        <v>166616.60302301293</v>
      </c>
      <c r="J18" s="559">
        <f>'IEPS INCREMENTO'!J20+'IEPS ESTIMACIONES'!J20</f>
        <v>182479.92601102468</v>
      </c>
      <c r="K18" s="559">
        <f>'IEPS INCREMENTO'!K20+'IEPS ESTIMACIONES'!K20</f>
        <v>181796.90176325085</v>
      </c>
      <c r="L18" s="559">
        <f>'IEPS INCREMENTO'!L20+'IEPS ESTIMACIONES'!L20</f>
        <v>179434.78258136599</v>
      </c>
      <c r="M18" s="559">
        <f>'IEPS INCREMENTO'!M20+'IEPS ESTIMACIONES'!M20</f>
        <v>173913.05107440214</v>
      </c>
      <c r="N18" s="559">
        <f>'IEPS INCREMENTO'!N20+'IEPS ESTIMACIONES'!N20</f>
        <v>173805.16588625428</v>
      </c>
      <c r="O18" s="560">
        <f t="shared" si="0"/>
        <v>2142936.0225</v>
      </c>
    </row>
    <row r="19" spans="1:15" ht="12.75" customHeight="1" x14ac:dyDescent="0.2">
      <c r="A19" s="557" t="s">
        <v>278</v>
      </c>
      <c r="B19" s="569"/>
      <c r="C19" s="559">
        <f>'IEPS INCREMENTO'!C21+'IEPS ESTIMACIONES'!C21</f>
        <v>127066.13649266101</v>
      </c>
      <c r="D19" s="559">
        <f>'IEPS INCREMENTO'!D21+'IEPS ESTIMACIONES'!D21</f>
        <v>289556.82673917781</v>
      </c>
      <c r="E19" s="559">
        <f>'IEPS INCREMENTO'!E21+'IEPS ESTIMACIONES'!E21</f>
        <v>120750.44675808813</v>
      </c>
      <c r="F19" s="559">
        <f>'IEPS INCREMENTO'!F21+'IEPS ESTIMACIONES'!F21</f>
        <v>117551.57135816364</v>
      </c>
      <c r="G19" s="559">
        <f>'IEPS INCREMENTO'!G21+'IEPS ESTIMACIONES'!G21</f>
        <v>129574.89014209723</v>
      </c>
      <c r="H19" s="559">
        <f>'IEPS INCREMENTO'!H21+'IEPS ESTIMACIONES'!H21</f>
        <v>134382.81180266818</v>
      </c>
      <c r="I19" s="559">
        <f>'IEPS INCREMENTO'!I21+'IEPS ESTIMACIONES'!I21</f>
        <v>138370.80425990649</v>
      </c>
      <c r="J19" s="559">
        <f>'IEPS INCREMENTO'!J21+'IEPS ESTIMACIONES'!J21</f>
        <v>153176.33587110706</v>
      </c>
      <c r="K19" s="559">
        <f>'IEPS INCREMENTO'!K21+'IEPS ESTIMACIONES'!K21</f>
        <v>153447.17881827062</v>
      </c>
      <c r="L19" s="559">
        <f>'IEPS INCREMENTO'!L21+'IEPS ESTIMACIONES'!L21</f>
        <v>151725.64854794665</v>
      </c>
      <c r="M19" s="559">
        <f>'IEPS INCREMENTO'!M21+'IEPS ESTIMACIONES'!M21</f>
        <v>146833.38257997186</v>
      </c>
      <c r="N19" s="559">
        <f>'IEPS INCREMENTO'!N21+'IEPS ESTIMACIONES'!N21</f>
        <v>146617.98912994139</v>
      </c>
      <c r="O19" s="560">
        <f t="shared" si="0"/>
        <v>1809054.0225</v>
      </c>
    </row>
    <row r="20" spans="1:15" ht="12.75" customHeight="1" x14ac:dyDescent="0.2">
      <c r="A20" s="557" t="s">
        <v>279</v>
      </c>
      <c r="B20" s="569"/>
      <c r="C20" s="559">
        <f>'IEPS INCREMENTO'!C22+'IEPS ESTIMACIONES'!C22</f>
        <v>78198.931240233331</v>
      </c>
      <c r="D20" s="559">
        <f>'IEPS INCREMENTO'!D22+'IEPS ESTIMACIONES'!D22</f>
        <v>215002.35044641417</v>
      </c>
      <c r="E20" s="559">
        <f>'IEPS INCREMENTO'!E22+'IEPS ESTIMACIONES'!E22</f>
        <v>69496.052478864891</v>
      </c>
      <c r="F20" s="559">
        <f>'IEPS INCREMENTO'!F22+'IEPS ESTIMACIONES'!F22</f>
        <v>59329.799288251037</v>
      </c>
      <c r="G20" s="559">
        <f>'IEPS INCREMENTO'!G22+'IEPS ESTIMACIONES'!G22</f>
        <v>74104.489450989873</v>
      </c>
      <c r="H20" s="559">
        <f>'IEPS INCREMENTO'!H22+'IEPS ESTIMACIONES'!H22</f>
        <v>76390.966577438128</v>
      </c>
      <c r="I20" s="559">
        <f>'IEPS INCREMENTO'!I22+'IEPS ESTIMACIONES'!I22</f>
        <v>79438.21177885728</v>
      </c>
      <c r="J20" s="559">
        <f>'IEPS INCREMENTO'!J22+'IEPS ESTIMACIONES'!J22</f>
        <v>92036.746566834496</v>
      </c>
      <c r="K20" s="559">
        <f>'IEPS INCREMENTO'!K22+'IEPS ESTIMACIONES'!K22</f>
        <v>94297.75687133662</v>
      </c>
      <c r="L20" s="559">
        <f>'IEPS INCREMENTO'!L22+'IEPS ESTIMACIONES'!L22</f>
        <v>93912.763959701406</v>
      </c>
      <c r="M20" s="559">
        <f>'IEPS INCREMENTO'!M22+'IEPS ESTIMACIONES'!M22</f>
        <v>90333.827326160535</v>
      </c>
      <c r="N20" s="559">
        <f>'IEPS INCREMENTO'!N22+'IEPS ESTIMACIONES'!N22</f>
        <v>89894.1265149182</v>
      </c>
      <c r="O20" s="560">
        <f t="shared" si="0"/>
        <v>1112436.0225</v>
      </c>
    </row>
    <row r="21" spans="1:15" ht="12.75" customHeight="1" x14ac:dyDescent="0.2">
      <c r="A21" s="557" t="s">
        <v>159</v>
      </c>
      <c r="B21" s="569"/>
      <c r="C21" s="559">
        <f>'IEPS INCREMENTO'!C23+'IEPS ESTIMACIONES'!C23</f>
        <v>112608.38345939839</v>
      </c>
      <c r="D21" s="559">
        <f>'IEPS INCREMENTO'!D23+'IEPS ESTIMACIONES'!D23</f>
        <v>267499.28937445488</v>
      </c>
      <c r="E21" s="559">
        <f>'IEPS INCREMENTO'!E23+'IEPS ESTIMACIONES'!E23</f>
        <v>105586.42478198659</v>
      </c>
      <c r="F21" s="559">
        <f>'IEPS INCREMENTO'!F23+'IEPS ESTIMACIONES'!F23</f>
        <v>100326.19500611851</v>
      </c>
      <c r="G21" s="559">
        <f>'IEPS INCREMENTO'!G23+'IEPS ESTIMACIONES'!G23</f>
        <v>113163.52899088203</v>
      </c>
      <c r="H21" s="559">
        <f>'IEPS INCREMENTO'!H23+'IEPS ESTIMACIONES'!H23</f>
        <v>117225.4611443161</v>
      </c>
      <c r="I21" s="559">
        <f>'IEPS INCREMENTO'!I23+'IEPS ESTIMACIONES'!I23</f>
        <v>120935.12601107536</v>
      </c>
      <c r="J21" s="559">
        <f>'IEPS INCREMENTO'!J23+'IEPS ESTIMACIONES'!J23</f>
        <v>135087.69998226903</v>
      </c>
      <c r="K21" s="559">
        <f>'IEPS INCREMENTO'!K23+'IEPS ESTIMACIONES'!K23</f>
        <v>135947.34983988779</v>
      </c>
      <c r="L21" s="559">
        <f>'IEPS INCREMENTO'!L23+'IEPS ESTIMACIONES'!L23</f>
        <v>134621.24482361373</v>
      </c>
      <c r="M21" s="559">
        <f>'IEPS INCREMENTO'!M23+'IEPS ESTIMACIONES'!M23</f>
        <v>130117.53783032355</v>
      </c>
      <c r="N21" s="559">
        <f>'IEPS INCREMENTO'!N23+'IEPS ESTIMACIONES'!N23</f>
        <v>129835.78125567418</v>
      </c>
      <c r="O21" s="560">
        <f t="shared" si="0"/>
        <v>1602954.0224999997</v>
      </c>
    </row>
    <row r="22" spans="1:15" ht="12.75" customHeight="1" x14ac:dyDescent="0.2">
      <c r="A22" s="557" t="s">
        <v>160</v>
      </c>
      <c r="B22" s="569"/>
      <c r="C22" s="559">
        <f>'IEPS INCREMENTO'!C24+'IEPS ESTIMACIONES'!C24</f>
        <v>58970.119705994031</v>
      </c>
      <c r="D22" s="559">
        <f>'IEPS INCREMENTO'!D24+'IEPS ESTIMACIONES'!D24</f>
        <v>185665.8257513326</v>
      </c>
      <c r="E22" s="559">
        <f>'IEPS INCREMENTO'!E24+'IEPS ESTIMACIONES'!E24</f>
        <v>49327.903250649826</v>
      </c>
      <c r="F22" s="559">
        <f>'IEPS INCREMENTO'!F24+'IEPS ESTIMACIONES'!F24</f>
        <v>36420.048740030979</v>
      </c>
      <c r="G22" s="559">
        <f>'IEPS INCREMENTO'!G24+'IEPS ESTIMACIONES'!G24</f>
        <v>52277.379119873658</v>
      </c>
      <c r="H22" s="559">
        <f>'IEPS INCREMENTO'!H24+'IEPS ESTIMACIONES'!H24</f>
        <v>53571.69020182985</v>
      </c>
      <c r="I22" s="559">
        <f>'IEPS INCREMENTO'!I24+'IEPS ESTIMACIONES'!I24</f>
        <v>56248.759707911886</v>
      </c>
      <c r="J22" s="559">
        <f>'IEPS INCREMENTO'!J24+'IEPS ESTIMACIONES'!J24</f>
        <v>67978.860834679901</v>
      </c>
      <c r="K22" s="559">
        <f>'IEPS INCREMENTO'!K24+'IEPS ESTIMACIONES'!K24</f>
        <v>71022.984330087435</v>
      </c>
      <c r="L22" s="559">
        <f>'IEPS INCREMENTO'!L24+'IEPS ESTIMACIONES'!L24</f>
        <v>71163.907006338617</v>
      </c>
      <c r="M22" s="559">
        <f>'IEPS INCREMENTO'!M24+'IEPS ESTIMACIONES'!M24</f>
        <v>68101.753809128277</v>
      </c>
      <c r="N22" s="559">
        <f>'IEPS INCREMENTO'!N24+'IEPS ESTIMACIONES'!N24</f>
        <v>67573.790042142791</v>
      </c>
      <c r="O22" s="560">
        <f t="shared" si="0"/>
        <v>838323.02249999973</v>
      </c>
    </row>
    <row r="23" spans="1:15" ht="12.75" customHeight="1" x14ac:dyDescent="0.2">
      <c r="A23" s="557" t="s">
        <v>161</v>
      </c>
      <c r="B23" s="569"/>
      <c r="C23" s="559">
        <f>'IEPS INCREMENTO'!C25+'IEPS ESTIMACIONES'!C25</f>
        <v>108126.48001908697</v>
      </c>
      <c r="D23" s="559">
        <f>'IEPS INCREMENTO'!D25+'IEPS ESTIMACIONES'!D25</f>
        <v>260661.45279139071</v>
      </c>
      <c r="E23" s="559">
        <f>'IEPS INCREMENTO'!E25+'IEPS ESTIMACIONES'!E25</f>
        <v>100885.57796939509</v>
      </c>
      <c r="F23" s="559">
        <f>'IEPS INCREMENTO'!F25+'IEPS ESTIMACIONES'!F25</f>
        <v>94986.328336984501</v>
      </c>
      <c r="G23" s="559">
        <f>'IEPS INCREMENTO'!G25+'IEPS ESTIMACIONES'!G25</f>
        <v>108076.00703400531</v>
      </c>
      <c r="H23" s="559">
        <f>'IEPS INCREMENTO'!H25+'IEPS ESTIMACIONES'!H25</f>
        <v>111906.68244022694</v>
      </c>
      <c r="I23" s="559">
        <f>'IEPS INCREMENTO'!I25+'IEPS ESTIMACIONES'!I25</f>
        <v>115530.0657539377</v>
      </c>
      <c r="J23" s="559">
        <f>'IEPS INCREMENTO'!J25+'IEPS ESTIMACIONES'!J25</f>
        <v>129480.22285672922</v>
      </c>
      <c r="K23" s="559">
        <f>'IEPS INCREMENTO'!K25+'IEPS ESTIMACIONES'!K25</f>
        <v>130522.40285658909</v>
      </c>
      <c r="L23" s="559">
        <f>'IEPS INCREMENTO'!L25+'IEPS ESTIMACIONES'!L25</f>
        <v>129318.87966907053</v>
      </c>
      <c r="M23" s="559">
        <f>'IEPS INCREMENTO'!M25+'IEPS ESTIMACIONES'!M25</f>
        <v>124935.62595793256</v>
      </c>
      <c r="N23" s="559">
        <f>'IEPS INCREMENTO'!N25+'IEPS ESTIMACIONES'!N25</f>
        <v>124633.29681465134</v>
      </c>
      <c r="O23" s="560">
        <f t="shared" si="0"/>
        <v>1539063.0225</v>
      </c>
    </row>
    <row r="24" spans="1:15" ht="12.75" customHeight="1" thickBot="1" x14ac:dyDescent="0.25">
      <c r="A24" s="557" t="s">
        <v>162</v>
      </c>
      <c r="B24" s="570"/>
      <c r="C24" s="559">
        <f>'IEPS INCREMENTO'!C26+'IEPS ESTIMACIONES'!C26</f>
        <v>120126.41503669495</v>
      </c>
      <c r="D24" s="559">
        <f>'IEPS INCREMENTO'!D26+'IEPS ESTIMACIONES'!D26</f>
        <v>278969.20880411082</v>
      </c>
      <c r="E24" s="559">
        <f>'IEPS INCREMENTO'!E26+'IEPS ESTIMACIONES'!E26</f>
        <v>113471.71620955938</v>
      </c>
      <c r="F24" s="559">
        <f>'IEPS INCREMENTO'!F26+'IEPS ESTIMACIONES'!F26</f>
        <v>109283.39070918197</v>
      </c>
      <c r="G24" s="559">
        <f>'IEPS INCREMENTO'!G26+'IEPS ESTIMACIONES'!G26</f>
        <v>121697.43678951393</v>
      </c>
      <c r="H24" s="559">
        <f>'IEPS INCREMENTO'!H26+'IEPS ESTIMACIONES'!H26</f>
        <v>126147.28348665917</v>
      </c>
      <c r="I24" s="559">
        <f>'IEPS INCREMENTO'!I26+'IEPS ESTIMACIONES'!I26</f>
        <v>130001.67870046754</v>
      </c>
      <c r="J24" s="559">
        <f>'IEPS INCREMENTO'!J26+'IEPS ESTIMACIONES'!J26</f>
        <v>144493.79064446478</v>
      </c>
      <c r="K24" s="559">
        <f>'IEPS INCREMENTO'!K26+'IEPS ESTIMACIONES'!K26</f>
        <v>145047.26090864686</v>
      </c>
      <c r="L24" s="559">
        <f>'IEPS INCREMENTO'!L26+'IEPS ESTIMACIONES'!L26</f>
        <v>143515.53476026686</v>
      </c>
      <c r="M24" s="559">
        <f>'IEPS INCREMENTO'!M26+'IEPS ESTIMACIONES'!M26</f>
        <v>138809.77710014067</v>
      </c>
      <c r="N24" s="559">
        <f>'IEPS INCREMENTO'!N26+'IEPS ESTIMACIONES'!N26</f>
        <v>138562.52935029313</v>
      </c>
      <c r="O24" s="560">
        <f t="shared" si="0"/>
        <v>1710126.0225</v>
      </c>
    </row>
    <row r="25" spans="1:15" ht="13.5" thickBot="1" x14ac:dyDescent="0.25">
      <c r="A25" s="562" t="s">
        <v>280</v>
      </c>
      <c r="B25" s="563">
        <f>SUM(B5:B24)</f>
        <v>0</v>
      </c>
      <c r="C25" s="564">
        <f>SUM(C5:C24)</f>
        <v>2518190.3250000002</v>
      </c>
      <c r="D25" s="564">
        <f t="shared" ref="D25:O25" si="1">SUM(D5:D24)</f>
        <v>5755844.4750000006</v>
      </c>
      <c r="E25" s="564">
        <f t="shared" si="1"/>
        <v>2390746.5000000005</v>
      </c>
      <c r="F25" s="564">
        <f t="shared" si="1"/>
        <v>2323470.8250000007</v>
      </c>
      <c r="G25" s="564">
        <f t="shared" si="1"/>
        <v>2565239.6249999995</v>
      </c>
      <c r="H25" s="564">
        <f t="shared" si="1"/>
        <v>2660204.4750000001</v>
      </c>
      <c r="I25" s="564">
        <f t="shared" si="1"/>
        <v>2739519</v>
      </c>
      <c r="J25" s="564">
        <f t="shared" si="1"/>
        <v>3034584.9000000004</v>
      </c>
      <c r="K25" s="564">
        <f t="shared" si="1"/>
        <v>3040943.8500000006</v>
      </c>
      <c r="L25" s="564">
        <f t="shared" si="1"/>
        <v>3007145.9250000007</v>
      </c>
      <c r="M25" s="564">
        <f t="shared" si="1"/>
        <v>2909922.3000000003</v>
      </c>
      <c r="N25" s="564">
        <f t="shared" si="1"/>
        <v>2905508.2500000005</v>
      </c>
      <c r="O25" s="564">
        <f t="shared" si="1"/>
        <v>35851320.45000001</v>
      </c>
    </row>
    <row r="26" spans="1:15" hidden="1" x14ac:dyDescent="0.2">
      <c r="A26" s="573" t="s">
        <v>308</v>
      </c>
      <c r="B26" s="573"/>
      <c r="C26" s="574">
        <f>'[3]PRESUPUSTO ESTATAL 2017'!B52</f>
        <v>1521250.4468291907</v>
      </c>
      <c r="D26" s="574">
        <f>'[3]PRESUPUSTO ESTATAL 2017'!C52</f>
        <v>1992155.4322061262</v>
      </c>
      <c r="E26" s="574">
        <f>'[3]PRESUPUSTO ESTATAL 2017'!D52</f>
        <v>1561223.5204092669</v>
      </c>
      <c r="F26" s="574">
        <f>'[3]PRESUPUSTO ESTATAL 2017'!E52</f>
        <v>1709133.4840227321</v>
      </c>
      <c r="G26" s="574">
        <f>'[3]PRESUPUSTO ESTATAL 2017'!F52</f>
        <v>1794276.5472658337</v>
      </c>
      <c r="H26" s="574">
        <f>'[3]PRESUPUSTO ESTATAL 2017'!G52</f>
        <v>1664193.9164477964</v>
      </c>
      <c r="I26" s="574">
        <f>'[3]PRESUPUSTO ESTATAL 2017'!H52</f>
        <v>1722567.8942233375</v>
      </c>
      <c r="J26" s="574">
        <f>'[3]PRESUPUSTO ESTATAL 2017'!I52</f>
        <v>1774773.0179705636</v>
      </c>
      <c r="K26" s="574">
        <f>'[3]PRESUPUSTO ESTATAL 2017'!J52</f>
        <v>1814273.0193366187</v>
      </c>
      <c r="L26" s="574">
        <f>'[3]PRESUPUSTO ESTATAL 2017'!K52</f>
        <v>1772942.0603667807</v>
      </c>
      <c r="M26" s="574">
        <f>'[3]PRESUPUSTO ESTATAL 2017'!L52</f>
        <v>1696337.0334839264</v>
      </c>
      <c r="N26" s="574">
        <f>'[3]PRESUPUSTO ESTATAL 2017'!M52</f>
        <v>1676873.6274378267</v>
      </c>
      <c r="O26" s="574">
        <f>SUM(C26:N26)</f>
        <v>20700000</v>
      </c>
    </row>
    <row r="27" spans="1:15" hidden="1" x14ac:dyDescent="0.2">
      <c r="A27" s="575" t="s">
        <v>309</v>
      </c>
      <c r="B27" s="575"/>
      <c r="C27" s="576">
        <f>C26-C25</f>
        <v>-996939.87817080948</v>
      </c>
      <c r="D27" s="576">
        <f t="shared" ref="D27:O27" si="2">D26-D25</f>
        <v>-3763689.0427938746</v>
      </c>
      <c r="E27" s="576">
        <f t="shared" si="2"/>
        <v>-829522.97959073354</v>
      </c>
      <c r="F27" s="576">
        <f t="shared" si="2"/>
        <v>-614337.34097726853</v>
      </c>
      <c r="G27" s="576">
        <f t="shared" si="2"/>
        <v>-770963.07773416582</v>
      </c>
      <c r="H27" s="576">
        <f t="shared" si="2"/>
        <v>-996010.5585522037</v>
      </c>
      <c r="I27" s="576">
        <f t="shared" si="2"/>
        <v>-1016951.1057766625</v>
      </c>
      <c r="J27" s="576">
        <f t="shared" si="2"/>
        <v>-1259811.8820294368</v>
      </c>
      <c r="K27" s="576">
        <f t="shared" si="2"/>
        <v>-1226670.8306633818</v>
      </c>
      <c r="L27" s="576">
        <f t="shared" si="2"/>
        <v>-1234203.86463322</v>
      </c>
      <c r="M27" s="576">
        <f t="shared" si="2"/>
        <v>-1213585.2665160738</v>
      </c>
      <c r="N27" s="576">
        <f t="shared" si="2"/>
        <v>-1228634.6225621738</v>
      </c>
      <c r="O27" s="576">
        <f t="shared" si="2"/>
        <v>-15151320.45000001</v>
      </c>
    </row>
    <row r="28" spans="1:15" x14ac:dyDescent="0.2">
      <c r="A28" s="566" t="s">
        <v>281</v>
      </c>
    </row>
    <row r="29" spans="1:15" x14ac:dyDescent="0.2">
      <c r="A29" s="566"/>
    </row>
    <row r="32" spans="1:15" x14ac:dyDescent="0.2">
      <c r="C32" s="561"/>
      <c r="D32" s="561"/>
      <c r="E32" s="561"/>
      <c r="F32" s="561"/>
      <c r="G32" s="561"/>
      <c r="H32" s="561"/>
      <c r="I32" s="561"/>
      <c r="J32" s="561"/>
      <c r="K32" s="561"/>
      <c r="L32" s="561"/>
      <c r="M32" s="561"/>
      <c r="N32" s="561"/>
      <c r="O32" s="561"/>
    </row>
    <row r="36" spans="11:11" x14ac:dyDescent="0.2">
      <c r="K36" s="561"/>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activeCell="C32" sqref="C32"/>
    </sheetView>
  </sheetViews>
  <sheetFormatPr baseColWidth="10" defaultRowHeight="12.75" x14ac:dyDescent="0.2"/>
  <cols>
    <col min="1" max="1" width="16" style="552" customWidth="1"/>
    <col min="2" max="2" width="9.42578125" style="552" bestFit="1" customWidth="1"/>
    <col min="3" max="14" width="12.7109375" style="552" bestFit="1" customWidth="1"/>
    <col min="15" max="15" width="14" style="552" bestFit="1" customWidth="1"/>
    <col min="16" max="16" width="13.7109375" style="552" bestFit="1" customWidth="1"/>
    <col min="17"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318</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94">
        <f>FFM!N8</f>
        <v>0</v>
      </c>
      <c r="C7" s="584">
        <f t="shared" ref="C7:C26" si="0">$C$31*B7/100</f>
        <v>0</v>
      </c>
      <c r="D7" s="585">
        <f t="shared" ref="D7:D11" si="1">$D$32*B7/100</f>
        <v>0</v>
      </c>
      <c r="E7" s="584">
        <f t="shared" ref="E7:E11" si="2">$E$32*B7/100</f>
        <v>0</v>
      </c>
      <c r="F7" s="585">
        <f t="shared" ref="F7:F11" si="3">$F$32*B7/100</f>
        <v>0</v>
      </c>
      <c r="G7" s="584">
        <f t="shared" ref="G7:G11" si="4">$G$32*B7/100</f>
        <v>0</v>
      </c>
      <c r="H7" s="584">
        <f t="shared" ref="H7:H11" si="5">$H$32*B7/100</f>
        <v>0</v>
      </c>
      <c r="I7" s="584">
        <f t="shared" ref="I7:I11" si="6">$I$32*B7/100</f>
        <v>0</v>
      </c>
      <c r="J7" s="585">
        <f t="shared" ref="J7:J11" si="7">$J$32*B7/100</f>
        <v>0</v>
      </c>
      <c r="K7" s="584">
        <f t="shared" ref="K7:K11" si="8">$K$32*B7/100</f>
        <v>0</v>
      </c>
      <c r="L7" s="585">
        <f t="shared" ref="L7:L11" si="9">$L$32*B7/100</f>
        <v>0</v>
      </c>
      <c r="M7" s="584">
        <f t="shared" ref="M7:M11" si="10">$M$32*B7/100</f>
        <v>0</v>
      </c>
      <c r="N7" s="584">
        <f t="shared" ref="N7:N11" si="11">$N$32*B7/100</f>
        <v>0</v>
      </c>
      <c r="O7" s="587">
        <f t="shared" ref="O7:O27" si="12">SUM(C7:N7)</f>
        <v>0</v>
      </c>
    </row>
    <row r="8" spans="1:15" x14ac:dyDescent="0.2">
      <c r="A8" s="557" t="s">
        <v>144</v>
      </c>
      <c r="B8" s="594">
        <f>FFM!N9</f>
        <v>0</v>
      </c>
      <c r="C8" s="584">
        <f t="shared" si="0"/>
        <v>0</v>
      </c>
      <c r="D8" s="585">
        <f t="shared" si="1"/>
        <v>0</v>
      </c>
      <c r="E8" s="584">
        <f t="shared" si="2"/>
        <v>0</v>
      </c>
      <c r="F8" s="585">
        <f t="shared" si="3"/>
        <v>0</v>
      </c>
      <c r="G8" s="584">
        <f t="shared" si="4"/>
        <v>0</v>
      </c>
      <c r="H8" s="584">
        <f t="shared" si="5"/>
        <v>0</v>
      </c>
      <c r="I8" s="584">
        <f t="shared" si="6"/>
        <v>0</v>
      </c>
      <c r="J8" s="585">
        <f t="shared" si="7"/>
        <v>0</v>
      </c>
      <c r="K8" s="584">
        <f t="shared" si="8"/>
        <v>0</v>
      </c>
      <c r="L8" s="585">
        <f t="shared" si="9"/>
        <v>0</v>
      </c>
      <c r="M8" s="584">
        <f t="shared" si="10"/>
        <v>0</v>
      </c>
      <c r="N8" s="584">
        <f t="shared" si="11"/>
        <v>0</v>
      </c>
      <c r="O8" s="587">
        <f t="shared" si="12"/>
        <v>0</v>
      </c>
    </row>
    <row r="9" spans="1:15" x14ac:dyDescent="0.2">
      <c r="A9" s="557" t="s">
        <v>145</v>
      </c>
      <c r="B9" s="594">
        <f>FFM!N10</f>
        <v>0</v>
      </c>
      <c r="C9" s="584">
        <f t="shared" si="0"/>
        <v>0</v>
      </c>
      <c r="D9" s="585">
        <f t="shared" si="1"/>
        <v>0</v>
      </c>
      <c r="E9" s="584">
        <f t="shared" si="2"/>
        <v>0</v>
      </c>
      <c r="F9" s="585">
        <f t="shared" si="3"/>
        <v>0</v>
      </c>
      <c r="G9" s="584">
        <f t="shared" si="4"/>
        <v>0</v>
      </c>
      <c r="H9" s="584">
        <f t="shared" si="5"/>
        <v>0</v>
      </c>
      <c r="I9" s="584">
        <f t="shared" si="6"/>
        <v>0</v>
      </c>
      <c r="J9" s="585">
        <f t="shared" si="7"/>
        <v>0</v>
      </c>
      <c r="K9" s="584">
        <f t="shared" si="8"/>
        <v>0</v>
      </c>
      <c r="L9" s="585">
        <f t="shared" si="9"/>
        <v>0</v>
      </c>
      <c r="M9" s="584">
        <f t="shared" si="10"/>
        <v>0</v>
      </c>
      <c r="N9" s="584">
        <f t="shared" si="11"/>
        <v>0</v>
      </c>
      <c r="O9" s="587">
        <f t="shared" si="12"/>
        <v>0</v>
      </c>
    </row>
    <row r="10" spans="1:15" x14ac:dyDescent="0.2">
      <c r="A10" s="557" t="s">
        <v>275</v>
      </c>
      <c r="B10" s="594">
        <f>FFM!N11</f>
        <v>0</v>
      </c>
      <c r="C10" s="584">
        <f t="shared" si="0"/>
        <v>0</v>
      </c>
      <c r="D10" s="585">
        <f t="shared" si="1"/>
        <v>0</v>
      </c>
      <c r="E10" s="584">
        <f t="shared" si="2"/>
        <v>0</v>
      </c>
      <c r="F10" s="585">
        <f t="shared" si="3"/>
        <v>0</v>
      </c>
      <c r="G10" s="584">
        <f t="shared" si="4"/>
        <v>0</v>
      </c>
      <c r="H10" s="584">
        <f t="shared" si="5"/>
        <v>0</v>
      </c>
      <c r="I10" s="584">
        <f t="shared" si="6"/>
        <v>0</v>
      </c>
      <c r="J10" s="585">
        <f t="shared" si="7"/>
        <v>0</v>
      </c>
      <c r="K10" s="584">
        <f t="shared" si="8"/>
        <v>0</v>
      </c>
      <c r="L10" s="585">
        <f t="shared" si="9"/>
        <v>0</v>
      </c>
      <c r="M10" s="584">
        <f t="shared" si="10"/>
        <v>0</v>
      </c>
      <c r="N10" s="584">
        <f t="shared" si="11"/>
        <v>0</v>
      </c>
      <c r="O10" s="587">
        <f t="shared" si="12"/>
        <v>0</v>
      </c>
    </row>
    <row r="11" spans="1:15" x14ac:dyDescent="0.2">
      <c r="A11" s="557" t="s">
        <v>147</v>
      </c>
      <c r="B11" s="594">
        <f>FFM!N12</f>
        <v>0</v>
      </c>
      <c r="C11" s="584">
        <f t="shared" si="0"/>
        <v>0</v>
      </c>
      <c r="D11" s="585">
        <f t="shared" si="1"/>
        <v>0</v>
      </c>
      <c r="E11" s="584">
        <f t="shared" si="2"/>
        <v>0</v>
      </c>
      <c r="F11" s="585">
        <f t="shared" si="3"/>
        <v>0</v>
      </c>
      <c r="G11" s="584">
        <f t="shared" si="4"/>
        <v>0</v>
      </c>
      <c r="H11" s="584">
        <f t="shared" si="5"/>
        <v>0</v>
      </c>
      <c r="I11" s="584">
        <f t="shared" si="6"/>
        <v>0</v>
      </c>
      <c r="J11" s="585">
        <f t="shared" si="7"/>
        <v>0</v>
      </c>
      <c r="K11" s="584">
        <f t="shared" si="8"/>
        <v>0</v>
      </c>
      <c r="L11" s="585">
        <f t="shared" si="9"/>
        <v>0</v>
      </c>
      <c r="M11" s="584">
        <f t="shared" si="10"/>
        <v>0</v>
      </c>
      <c r="N11" s="584">
        <f t="shared" si="11"/>
        <v>0</v>
      </c>
      <c r="O11" s="587">
        <f t="shared" si="12"/>
        <v>0</v>
      </c>
    </row>
    <row r="12" spans="1:15" x14ac:dyDescent="0.2">
      <c r="A12" s="557" t="s">
        <v>276</v>
      </c>
      <c r="B12" s="594">
        <f>FFM!N13</f>
        <v>0.37670666953514986</v>
      </c>
      <c r="C12" s="584">
        <f>$C$34*B12/100</f>
        <v>11680.557640423156</v>
      </c>
      <c r="D12" s="585">
        <f>$D$34*B12/100</f>
        <v>27892.206012028935</v>
      </c>
      <c r="E12" s="584">
        <f>$E$34*B12/100</f>
        <v>8819.4418555968168</v>
      </c>
      <c r="F12" s="585">
        <f>$F$34*B12/100</f>
        <v>15736.499585067668</v>
      </c>
      <c r="G12" s="584">
        <f>$G$34*B12/100</f>
        <v>35429.726749104375</v>
      </c>
      <c r="H12" s="584">
        <f>$H$34*B12/100</f>
        <v>31422.786808032994</v>
      </c>
      <c r="I12" s="584">
        <f>$I$34*B12/100</f>
        <v>10914.914896033066</v>
      </c>
      <c r="J12" s="585">
        <f>$J$34*B12/100</f>
        <v>20411.609419786921</v>
      </c>
      <c r="K12" s="584">
        <f>$K$34*B12/100</f>
        <v>12575.514366797934</v>
      </c>
      <c r="L12" s="585">
        <f>$L$34*B12/100</f>
        <v>-5732.6060713316892</v>
      </c>
      <c r="M12" s="584">
        <f>$M$34*B12/100</f>
        <v>15148.483453030156</v>
      </c>
      <c r="N12" s="584">
        <f>$N$34*B12/100</f>
        <v>10905.533769841633</v>
      </c>
      <c r="O12" s="587">
        <f t="shared" si="12"/>
        <v>195204.66848441196</v>
      </c>
    </row>
    <row r="13" spans="1:15" x14ac:dyDescent="0.2">
      <c r="A13" s="557" t="s">
        <v>149</v>
      </c>
      <c r="B13" s="594">
        <f>FFM!N14</f>
        <v>0.17875638783139555</v>
      </c>
      <c r="C13" s="584">
        <f t="shared" ref="C13:C25" si="13">$C$34*B13/100</f>
        <v>5542.7059314744283</v>
      </c>
      <c r="D13" s="585">
        <f t="shared" ref="D13:D26" si="14">$D$34*B13/100</f>
        <v>13235.523548101663</v>
      </c>
      <c r="E13" s="584">
        <f t="shared" ref="E13:E26" si="15">$E$34*B13/100</f>
        <v>4185.0375804095074</v>
      </c>
      <c r="F13" s="585">
        <f t="shared" ref="F13:F26" si="16">$F$34*B13/100</f>
        <v>7467.3480732585622</v>
      </c>
      <c r="G13" s="584">
        <f t="shared" ref="G13:G26" si="17">$G$34*B13/100</f>
        <v>16812.258682168947</v>
      </c>
      <c r="H13" s="584">
        <f t="shared" ref="H13:H26" si="18">$H$34*B13/100</f>
        <v>14910.869171313918</v>
      </c>
      <c r="I13" s="584">
        <f t="shared" ref="I13:I26" si="19">$I$34*B13/100</f>
        <v>5179.390008437078</v>
      </c>
      <c r="J13" s="585">
        <f t="shared" ref="J13:J26" si="20">$J$34*B13/100</f>
        <v>9685.8002917995673</v>
      </c>
      <c r="K13" s="584">
        <f t="shared" ref="K13:K26" si="21">$K$34*B13/100</f>
        <v>5967.3844535446042</v>
      </c>
      <c r="L13" s="585">
        <f t="shared" ref="L13:L26" si="22">$L$34*B13/100</f>
        <v>-2720.259653050723</v>
      </c>
      <c r="M13" s="584">
        <f t="shared" ref="M13:M26" si="23">$M$34*B13/100</f>
        <v>7188.320255993418</v>
      </c>
      <c r="N13" s="584">
        <f t="shared" ref="N13:N26" si="24">$N$34*B13/100</f>
        <v>5174.938438110913</v>
      </c>
      <c r="O13" s="587">
        <f t="shared" si="12"/>
        <v>92629.316781561865</v>
      </c>
    </row>
    <row r="14" spans="1:15" x14ac:dyDescent="0.2">
      <c r="A14" s="557" t="s">
        <v>150</v>
      </c>
      <c r="B14" s="594">
        <f>FFM!N15</f>
        <v>0</v>
      </c>
      <c r="C14" s="584">
        <f t="shared" si="13"/>
        <v>0</v>
      </c>
      <c r="D14" s="585">
        <f t="shared" si="14"/>
        <v>0</v>
      </c>
      <c r="E14" s="584">
        <f t="shared" si="15"/>
        <v>0</v>
      </c>
      <c r="F14" s="585">
        <f t="shared" si="16"/>
        <v>0</v>
      </c>
      <c r="G14" s="584">
        <f t="shared" si="17"/>
        <v>0</v>
      </c>
      <c r="H14" s="584">
        <f t="shared" si="18"/>
        <v>0</v>
      </c>
      <c r="I14" s="584">
        <f t="shared" si="19"/>
        <v>0</v>
      </c>
      <c r="J14" s="585">
        <f t="shared" si="20"/>
        <v>0</v>
      </c>
      <c r="K14" s="584">
        <f t="shared" si="21"/>
        <v>0</v>
      </c>
      <c r="L14" s="585">
        <f t="shared" si="22"/>
        <v>0</v>
      </c>
      <c r="M14" s="584">
        <f t="shared" si="23"/>
        <v>0</v>
      </c>
      <c r="N14" s="584">
        <f t="shared" si="24"/>
        <v>0</v>
      </c>
      <c r="O14" s="587">
        <f t="shared" si="12"/>
        <v>0</v>
      </c>
    </row>
    <row r="15" spans="1:15" x14ac:dyDescent="0.2">
      <c r="A15" s="557" t="s">
        <v>151</v>
      </c>
      <c r="B15" s="594">
        <f>FFM!N16</f>
        <v>0</v>
      </c>
      <c r="C15" s="584">
        <f t="shared" si="13"/>
        <v>0</v>
      </c>
      <c r="D15" s="585">
        <f t="shared" si="14"/>
        <v>0</v>
      </c>
      <c r="E15" s="584">
        <f t="shared" si="15"/>
        <v>0</v>
      </c>
      <c r="F15" s="585">
        <f t="shared" si="16"/>
        <v>0</v>
      </c>
      <c r="G15" s="584">
        <f t="shared" si="17"/>
        <v>0</v>
      </c>
      <c r="H15" s="584">
        <f t="shared" si="18"/>
        <v>0</v>
      </c>
      <c r="I15" s="584">
        <f t="shared" si="19"/>
        <v>0</v>
      </c>
      <c r="J15" s="585">
        <f t="shared" si="20"/>
        <v>0</v>
      </c>
      <c r="K15" s="584">
        <f t="shared" si="21"/>
        <v>0</v>
      </c>
      <c r="L15" s="585">
        <f t="shared" si="22"/>
        <v>0</v>
      </c>
      <c r="M15" s="584">
        <f t="shared" si="23"/>
        <v>0</v>
      </c>
      <c r="N15" s="584">
        <f t="shared" si="24"/>
        <v>0</v>
      </c>
      <c r="O15" s="587">
        <f t="shared" si="12"/>
        <v>0</v>
      </c>
    </row>
    <row r="16" spans="1:15" x14ac:dyDescent="0.2">
      <c r="A16" s="557" t="s">
        <v>152</v>
      </c>
      <c r="B16" s="594">
        <f>FFM!N17</f>
        <v>0</v>
      </c>
      <c r="C16" s="584">
        <f t="shared" si="13"/>
        <v>0</v>
      </c>
      <c r="D16" s="585">
        <f t="shared" si="14"/>
        <v>0</v>
      </c>
      <c r="E16" s="584">
        <f t="shared" si="15"/>
        <v>0</v>
      </c>
      <c r="F16" s="585">
        <f t="shared" si="16"/>
        <v>0</v>
      </c>
      <c r="G16" s="584">
        <f t="shared" si="17"/>
        <v>0</v>
      </c>
      <c r="H16" s="584">
        <f t="shared" si="18"/>
        <v>0</v>
      </c>
      <c r="I16" s="584">
        <f t="shared" si="19"/>
        <v>0</v>
      </c>
      <c r="J16" s="585">
        <f t="shared" si="20"/>
        <v>0</v>
      </c>
      <c r="K16" s="584">
        <f t="shared" si="21"/>
        <v>0</v>
      </c>
      <c r="L16" s="585">
        <f t="shared" si="22"/>
        <v>0</v>
      </c>
      <c r="M16" s="584">
        <f t="shared" si="23"/>
        <v>0</v>
      </c>
      <c r="N16" s="584">
        <f t="shared" si="24"/>
        <v>0</v>
      </c>
      <c r="O16" s="587">
        <f t="shared" si="12"/>
        <v>0</v>
      </c>
    </row>
    <row r="17" spans="1:16" x14ac:dyDescent="0.2">
      <c r="A17" s="557" t="s">
        <v>153</v>
      </c>
      <c r="B17" s="594">
        <f>FFM!N18</f>
        <v>19.747723141487931</v>
      </c>
      <c r="C17" s="584">
        <f t="shared" si="13"/>
        <v>612318.3821138721</v>
      </c>
      <c r="D17" s="585">
        <f t="shared" si="14"/>
        <v>1462165.676043327</v>
      </c>
      <c r="E17" s="584">
        <f t="shared" si="15"/>
        <v>462332.9240273129</v>
      </c>
      <c r="F17" s="585">
        <f t="shared" si="16"/>
        <v>824939.03653346258</v>
      </c>
      <c r="G17" s="584">
        <f t="shared" si="17"/>
        <v>1857297.7103995732</v>
      </c>
      <c r="H17" s="584">
        <f t="shared" si="18"/>
        <v>1647245.839806227</v>
      </c>
      <c r="I17" s="584">
        <f t="shared" si="19"/>
        <v>572181.84574683092</v>
      </c>
      <c r="J17" s="585">
        <f t="shared" si="20"/>
        <v>1070017.7201309898</v>
      </c>
      <c r="K17" s="584">
        <f t="shared" si="21"/>
        <v>659233.81814230792</v>
      </c>
      <c r="L17" s="585">
        <f t="shared" si="22"/>
        <v>-300514.7684684355</v>
      </c>
      <c r="M17" s="584">
        <f t="shared" si="23"/>
        <v>794114.04532071238</v>
      </c>
      <c r="N17" s="584">
        <f t="shared" si="24"/>
        <v>571690.06819743849</v>
      </c>
      <c r="O17" s="587">
        <f t="shared" si="12"/>
        <v>10233022.297993619</v>
      </c>
    </row>
    <row r="18" spans="1:16" x14ac:dyDescent="0.2">
      <c r="A18" s="557" t="s">
        <v>154</v>
      </c>
      <c r="B18" s="594">
        <f>FFM!N19</f>
        <v>0</v>
      </c>
      <c r="C18" s="584">
        <f t="shared" si="13"/>
        <v>0</v>
      </c>
      <c r="D18" s="585">
        <f t="shared" si="14"/>
        <v>0</v>
      </c>
      <c r="E18" s="584">
        <f t="shared" si="15"/>
        <v>0</v>
      </c>
      <c r="F18" s="585">
        <f t="shared" si="16"/>
        <v>0</v>
      </c>
      <c r="G18" s="584">
        <f t="shared" si="17"/>
        <v>0</v>
      </c>
      <c r="H18" s="584">
        <f t="shared" si="18"/>
        <v>0</v>
      </c>
      <c r="I18" s="584">
        <f t="shared" si="19"/>
        <v>0</v>
      </c>
      <c r="J18" s="585">
        <f t="shared" si="20"/>
        <v>0</v>
      </c>
      <c r="K18" s="584">
        <f t="shared" si="21"/>
        <v>0</v>
      </c>
      <c r="L18" s="585">
        <f t="shared" si="22"/>
        <v>0</v>
      </c>
      <c r="M18" s="584">
        <f t="shared" si="23"/>
        <v>0</v>
      </c>
      <c r="N18" s="584">
        <f t="shared" si="24"/>
        <v>0</v>
      </c>
      <c r="O18" s="587">
        <f t="shared" si="12"/>
        <v>0</v>
      </c>
    </row>
    <row r="19" spans="1:16" x14ac:dyDescent="0.2">
      <c r="A19" s="557" t="s">
        <v>155</v>
      </c>
      <c r="B19" s="594">
        <f>FFM!N20</f>
        <v>0</v>
      </c>
      <c r="C19" s="584">
        <f t="shared" si="13"/>
        <v>0</v>
      </c>
      <c r="D19" s="585">
        <f t="shared" si="14"/>
        <v>0</v>
      </c>
      <c r="E19" s="584">
        <f t="shared" si="15"/>
        <v>0</v>
      </c>
      <c r="F19" s="585">
        <f t="shared" si="16"/>
        <v>0</v>
      </c>
      <c r="G19" s="584">
        <f t="shared" si="17"/>
        <v>0</v>
      </c>
      <c r="H19" s="584">
        <f t="shared" si="18"/>
        <v>0</v>
      </c>
      <c r="I19" s="584">
        <f t="shared" si="19"/>
        <v>0</v>
      </c>
      <c r="J19" s="585">
        <f t="shared" si="20"/>
        <v>0</v>
      </c>
      <c r="K19" s="584">
        <f t="shared" si="21"/>
        <v>0</v>
      </c>
      <c r="L19" s="585">
        <f t="shared" si="22"/>
        <v>0</v>
      </c>
      <c r="M19" s="584">
        <f t="shared" si="23"/>
        <v>0</v>
      </c>
      <c r="N19" s="584">
        <f t="shared" si="24"/>
        <v>0</v>
      </c>
      <c r="O19" s="587">
        <f t="shared" si="12"/>
        <v>0</v>
      </c>
    </row>
    <row r="20" spans="1:16" x14ac:dyDescent="0.2">
      <c r="A20" s="557" t="s">
        <v>277</v>
      </c>
      <c r="B20" s="594">
        <f>FFM!N21</f>
        <v>0</v>
      </c>
      <c r="C20" s="584">
        <f t="shared" si="13"/>
        <v>0</v>
      </c>
      <c r="D20" s="585">
        <f t="shared" si="14"/>
        <v>0</v>
      </c>
      <c r="E20" s="584">
        <f t="shared" si="15"/>
        <v>0</v>
      </c>
      <c r="F20" s="585">
        <f t="shared" si="16"/>
        <v>0</v>
      </c>
      <c r="G20" s="584">
        <f t="shared" si="17"/>
        <v>0</v>
      </c>
      <c r="H20" s="584">
        <f t="shared" si="18"/>
        <v>0</v>
      </c>
      <c r="I20" s="584">
        <f t="shared" si="19"/>
        <v>0</v>
      </c>
      <c r="J20" s="585">
        <f t="shared" si="20"/>
        <v>0</v>
      </c>
      <c r="K20" s="584">
        <f t="shared" si="21"/>
        <v>0</v>
      </c>
      <c r="L20" s="585">
        <f t="shared" si="22"/>
        <v>0</v>
      </c>
      <c r="M20" s="584">
        <f t="shared" si="23"/>
        <v>0</v>
      </c>
      <c r="N20" s="584">
        <f t="shared" si="24"/>
        <v>0</v>
      </c>
      <c r="O20" s="587">
        <f t="shared" si="12"/>
        <v>0</v>
      </c>
    </row>
    <row r="21" spans="1:16" x14ac:dyDescent="0.2">
      <c r="A21" s="557" t="s">
        <v>278</v>
      </c>
      <c r="B21" s="594">
        <f>FFM!N22</f>
        <v>0</v>
      </c>
      <c r="C21" s="584">
        <f t="shared" si="13"/>
        <v>0</v>
      </c>
      <c r="D21" s="585">
        <f t="shared" si="14"/>
        <v>0</v>
      </c>
      <c r="E21" s="584">
        <f t="shared" si="15"/>
        <v>0</v>
      </c>
      <c r="F21" s="585">
        <f t="shared" si="16"/>
        <v>0</v>
      </c>
      <c r="G21" s="584">
        <f t="shared" si="17"/>
        <v>0</v>
      </c>
      <c r="H21" s="584">
        <f t="shared" si="18"/>
        <v>0</v>
      </c>
      <c r="I21" s="584">
        <f t="shared" si="19"/>
        <v>0</v>
      </c>
      <c r="J21" s="585">
        <f t="shared" si="20"/>
        <v>0</v>
      </c>
      <c r="K21" s="584">
        <f t="shared" si="21"/>
        <v>0</v>
      </c>
      <c r="L21" s="585">
        <f t="shared" si="22"/>
        <v>0</v>
      </c>
      <c r="M21" s="584">
        <f t="shared" si="23"/>
        <v>0</v>
      </c>
      <c r="N21" s="584">
        <f t="shared" si="24"/>
        <v>0</v>
      </c>
      <c r="O21" s="587">
        <f t="shared" si="12"/>
        <v>0</v>
      </c>
    </row>
    <row r="22" spans="1:16" x14ac:dyDescent="0.2">
      <c r="A22" s="557" t="s">
        <v>279</v>
      </c>
      <c r="B22" s="594">
        <f>FFM!N23</f>
        <v>75.198321313765291</v>
      </c>
      <c r="C22" s="584">
        <f t="shared" si="13"/>
        <v>2331677.1313138073</v>
      </c>
      <c r="D22" s="585">
        <f t="shared" si="14"/>
        <v>5567852.2295092475</v>
      </c>
      <c r="E22" s="584">
        <f t="shared" si="15"/>
        <v>1760540.1658633417</v>
      </c>
      <c r="F22" s="585">
        <f t="shared" si="16"/>
        <v>3141325.7259609932</v>
      </c>
      <c r="G22" s="584">
        <f t="shared" si="17"/>
        <v>7072494.8390898053</v>
      </c>
      <c r="H22" s="584">
        <f t="shared" si="18"/>
        <v>6272628.0420791125</v>
      </c>
      <c r="I22" s="584">
        <f t="shared" si="19"/>
        <v>2178839.2503831466</v>
      </c>
      <c r="J22" s="585">
        <f t="shared" si="20"/>
        <v>4074572.8382624094</v>
      </c>
      <c r="K22" s="584">
        <f t="shared" si="21"/>
        <v>2510328.7159934524</v>
      </c>
      <c r="L22" s="585">
        <f t="shared" si="22"/>
        <v>-1144344.8926699148</v>
      </c>
      <c r="M22" s="584">
        <f t="shared" si="23"/>
        <v>3023945.7334878086</v>
      </c>
      <c r="N22" s="584">
        <f t="shared" si="24"/>
        <v>2176966.58658747</v>
      </c>
      <c r="O22" s="587">
        <f t="shared" si="12"/>
        <v>38966826.365860671</v>
      </c>
    </row>
    <row r="23" spans="1:16" x14ac:dyDescent="0.2">
      <c r="A23" s="557" t="s">
        <v>159</v>
      </c>
      <c r="B23" s="594">
        <f>FFM!N24</f>
        <v>0</v>
      </c>
      <c r="C23" s="584">
        <f t="shared" si="13"/>
        <v>0</v>
      </c>
      <c r="D23" s="585">
        <f t="shared" si="14"/>
        <v>0</v>
      </c>
      <c r="E23" s="584">
        <f t="shared" si="15"/>
        <v>0</v>
      </c>
      <c r="F23" s="585">
        <f t="shared" si="16"/>
        <v>0</v>
      </c>
      <c r="G23" s="584">
        <f t="shared" si="17"/>
        <v>0</v>
      </c>
      <c r="H23" s="584">
        <f t="shared" si="18"/>
        <v>0</v>
      </c>
      <c r="I23" s="584">
        <f t="shared" si="19"/>
        <v>0</v>
      </c>
      <c r="J23" s="585">
        <f t="shared" si="20"/>
        <v>0</v>
      </c>
      <c r="K23" s="584">
        <f t="shared" si="21"/>
        <v>0</v>
      </c>
      <c r="L23" s="585">
        <f t="shared" si="22"/>
        <v>0</v>
      </c>
      <c r="M23" s="584">
        <f t="shared" si="23"/>
        <v>0</v>
      </c>
      <c r="N23" s="584">
        <f t="shared" si="24"/>
        <v>0</v>
      </c>
      <c r="O23" s="587">
        <f t="shared" si="12"/>
        <v>0</v>
      </c>
    </row>
    <row r="24" spans="1:16" x14ac:dyDescent="0.2">
      <c r="A24" s="557" t="s">
        <v>160</v>
      </c>
      <c r="B24" s="594">
        <f>FFM!N25</f>
        <v>0</v>
      </c>
      <c r="C24" s="584">
        <f t="shared" si="13"/>
        <v>0</v>
      </c>
      <c r="D24" s="585">
        <f t="shared" si="14"/>
        <v>0</v>
      </c>
      <c r="E24" s="584">
        <f t="shared" si="15"/>
        <v>0</v>
      </c>
      <c r="F24" s="585">
        <f t="shared" si="16"/>
        <v>0</v>
      </c>
      <c r="G24" s="584">
        <f t="shared" si="17"/>
        <v>0</v>
      </c>
      <c r="H24" s="584">
        <f t="shared" si="18"/>
        <v>0</v>
      </c>
      <c r="I24" s="584">
        <f t="shared" si="19"/>
        <v>0</v>
      </c>
      <c r="J24" s="585">
        <f t="shared" si="20"/>
        <v>0</v>
      </c>
      <c r="K24" s="584">
        <f t="shared" si="21"/>
        <v>0</v>
      </c>
      <c r="L24" s="585">
        <f t="shared" si="22"/>
        <v>0</v>
      </c>
      <c r="M24" s="584">
        <f t="shared" si="23"/>
        <v>0</v>
      </c>
      <c r="N24" s="584">
        <f t="shared" si="24"/>
        <v>0</v>
      </c>
      <c r="O24" s="587">
        <f t="shared" si="12"/>
        <v>0</v>
      </c>
    </row>
    <row r="25" spans="1:16" x14ac:dyDescent="0.2">
      <c r="A25" s="557" t="s">
        <v>161</v>
      </c>
      <c r="B25" s="594">
        <f>FFM!N26</f>
        <v>4.4984924873802328</v>
      </c>
      <c r="C25" s="584">
        <f t="shared" si="13"/>
        <v>139484.92300042082</v>
      </c>
      <c r="D25" s="585">
        <f t="shared" si="14"/>
        <v>333078.46488729678</v>
      </c>
      <c r="E25" s="584">
        <f t="shared" si="15"/>
        <v>105318.53067333902</v>
      </c>
      <c r="F25" s="585">
        <f t="shared" si="16"/>
        <v>187919.48984721574</v>
      </c>
      <c r="G25" s="584">
        <f t="shared" si="17"/>
        <v>423088.76507934777</v>
      </c>
      <c r="H25" s="584">
        <f t="shared" si="18"/>
        <v>375239.36213531124</v>
      </c>
      <c r="I25" s="584">
        <f t="shared" si="19"/>
        <v>130341.89896555003</v>
      </c>
      <c r="J25" s="585">
        <f t="shared" si="20"/>
        <v>243747.93189501349</v>
      </c>
      <c r="K25" s="584">
        <f t="shared" si="21"/>
        <v>150172.16704389715</v>
      </c>
      <c r="L25" s="585">
        <f t="shared" si="22"/>
        <v>-68456.673137266218</v>
      </c>
      <c r="M25" s="584">
        <f t="shared" si="23"/>
        <v>180897.61748245714</v>
      </c>
      <c r="N25" s="584">
        <f t="shared" si="24"/>
        <v>130229.8730071368</v>
      </c>
      <c r="O25" s="587">
        <f t="shared" si="12"/>
        <v>2331062.3508797195</v>
      </c>
    </row>
    <row r="26" spans="1:16" ht="13.5" thickBot="1" x14ac:dyDescent="0.25">
      <c r="A26" s="557" t="s">
        <v>162</v>
      </c>
      <c r="B26" s="594">
        <f>FFM!N27</f>
        <v>0</v>
      </c>
      <c r="C26" s="584">
        <f t="shared" si="0"/>
        <v>0</v>
      </c>
      <c r="D26" s="585">
        <f t="shared" si="14"/>
        <v>0</v>
      </c>
      <c r="E26" s="584">
        <f t="shared" si="15"/>
        <v>0</v>
      </c>
      <c r="F26" s="585">
        <f t="shared" si="16"/>
        <v>0</v>
      </c>
      <c r="G26" s="584">
        <f t="shared" si="17"/>
        <v>0</v>
      </c>
      <c r="H26" s="584">
        <f t="shared" si="18"/>
        <v>0</v>
      </c>
      <c r="I26" s="584">
        <f t="shared" si="19"/>
        <v>0</v>
      </c>
      <c r="J26" s="585">
        <f t="shared" si="20"/>
        <v>0</v>
      </c>
      <c r="K26" s="584">
        <f t="shared" si="21"/>
        <v>0</v>
      </c>
      <c r="L26" s="585">
        <f t="shared" si="22"/>
        <v>0</v>
      </c>
      <c r="M26" s="584">
        <f t="shared" si="23"/>
        <v>0</v>
      </c>
      <c r="N26" s="584">
        <f t="shared" si="24"/>
        <v>0</v>
      </c>
      <c r="O26" s="587">
        <f t="shared" si="12"/>
        <v>0</v>
      </c>
    </row>
    <row r="27" spans="1:16" ht="13.5" thickBot="1" x14ac:dyDescent="0.25">
      <c r="A27" s="562" t="s">
        <v>280</v>
      </c>
      <c r="B27" s="596">
        <f>SUM(B7:B26)</f>
        <v>100</v>
      </c>
      <c r="C27" s="592">
        <f t="shared" ref="C27:N27" si="25">SUM(C7:C26)</f>
        <v>3100703.6999999979</v>
      </c>
      <c r="D27" s="592">
        <f t="shared" si="25"/>
        <v>7404224.1000000015</v>
      </c>
      <c r="E27" s="592">
        <f t="shared" si="25"/>
        <v>2341196.1</v>
      </c>
      <c r="F27" s="592">
        <f t="shared" si="25"/>
        <v>4177388.0999999978</v>
      </c>
      <c r="G27" s="592">
        <f t="shared" si="25"/>
        <v>9405123.2999999989</v>
      </c>
      <c r="H27" s="592">
        <f t="shared" si="25"/>
        <v>8341446.8999999985</v>
      </c>
      <c r="I27" s="592">
        <f t="shared" si="25"/>
        <v>2897457.2999999975</v>
      </c>
      <c r="J27" s="592">
        <f t="shared" si="25"/>
        <v>5418435.8999999994</v>
      </c>
      <c r="K27" s="592">
        <f t="shared" si="25"/>
        <v>3338277.6</v>
      </c>
      <c r="L27" s="592">
        <f t="shared" si="25"/>
        <v>-1521769.1999999988</v>
      </c>
      <c r="M27" s="592">
        <f t="shared" si="25"/>
        <v>4021294.200000002</v>
      </c>
      <c r="N27" s="592">
        <f t="shared" si="25"/>
        <v>2894966.9999999977</v>
      </c>
      <c r="O27" s="592">
        <f t="shared" si="12"/>
        <v>51818745</v>
      </c>
    </row>
    <row r="28" spans="1:16" x14ac:dyDescent="0.2">
      <c r="A28" s="565"/>
      <c r="B28" s="565"/>
      <c r="C28" s="565"/>
      <c r="D28" s="565"/>
      <c r="E28" s="565"/>
      <c r="F28" s="565"/>
      <c r="G28" s="565"/>
      <c r="H28" s="565"/>
      <c r="I28" s="565"/>
      <c r="J28" s="565"/>
      <c r="K28" s="565"/>
      <c r="L28" s="565"/>
      <c r="M28" s="565"/>
      <c r="N28" s="565"/>
      <c r="O28" s="565"/>
      <c r="P28" s="561"/>
    </row>
    <row r="29" spans="1:16" x14ac:dyDescent="0.2">
      <c r="A29" s="566" t="s">
        <v>281</v>
      </c>
      <c r="M29" s="561"/>
      <c r="O29" s="561"/>
    </row>
    <row r="30" spans="1:16" x14ac:dyDescent="0.2">
      <c r="A30" s="552" t="s">
        <v>165</v>
      </c>
      <c r="B30" s="597"/>
      <c r="C30" s="561">
        <f>'X22.55 POE'!B22</f>
        <v>45767328</v>
      </c>
      <c r="D30" s="561">
        <f>'X22.55 POE'!C22</f>
        <v>65614901</v>
      </c>
      <c r="E30" s="561">
        <f>'X22.55 POE'!D22</f>
        <v>42379059</v>
      </c>
      <c r="F30" s="561">
        <f>'X22.55 POE'!E22</f>
        <v>52080427.999999993</v>
      </c>
      <c r="G30" s="561">
        <f>'X22.55 POE'!F22</f>
        <v>63622938</v>
      </c>
      <c r="H30" s="561">
        <f>'X22.55 POE'!G22</f>
        <v>62371037</v>
      </c>
      <c r="I30" s="561">
        <f>'X22.55 POE'!H22</f>
        <v>48324314</v>
      </c>
      <c r="J30" s="561">
        <f>'X22.55 POE'!I22</f>
        <v>51313824</v>
      </c>
      <c r="K30" s="561">
        <f>'X22.55 POE'!J22</f>
        <v>48216196</v>
      </c>
      <c r="L30" s="561">
        <f>'X22.55 POE'!K22</f>
        <v>31929664.000000004</v>
      </c>
      <c r="M30" s="561">
        <f>'X22.55 POE'!L22</f>
        <v>46646017.000000007</v>
      </c>
      <c r="N30" s="561">
        <f>'X22.55 POE'!M22</f>
        <v>46936988</v>
      </c>
      <c r="O30" s="561">
        <f>SUM(C30:N30)</f>
        <v>605202694</v>
      </c>
      <c r="P30" s="561"/>
    </row>
    <row r="31" spans="1:16" x14ac:dyDescent="0.2">
      <c r="A31" s="552" t="s">
        <v>319</v>
      </c>
      <c r="B31" s="598"/>
      <c r="C31" s="561">
        <f>'F.F.M.ESTIIMACIONES 2014'!C27</f>
        <v>35431649.000000007</v>
      </c>
      <c r="D31" s="561">
        <f>'F.F.M.ESTIIMACIONES 2014'!D27</f>
        <v>40934153.999999993</v>
      </c>
      <c r="E31" s="561">
        <f>'F.F.M.ESTIIMACIONES 2014'!E27</f>
        <v>34575072</v>
      </c>
      <c r="F31" s="561">
        <f>'F.F.M.ESTIIMACIONES 2014'!F27</f>
        <v>38155801</v>
      </c>
      <c r="G31" s="561">
        <f>'F.F.M.ESTIIMACIONES 2014'!G27</f>
        <v>32272527</v>
      </c>
      <c r="H31" s="561">
        <f>'F.F.M.ESTIIMACIONES 2014'!H27</f>
        <v>34566214.000000007</v>
      </c>
      <c r="I31" s="561">
        <f>'F.F.M.ESTIIMACIONES 2014'!I27</f>
        <v>38666123.000000007</v>
      </c>
      <c r="J31" s="561">
        <f>'F.F.M.ESTIIMACIONES 2014'!J27</f>
        <v>33252371</v>
      </c>
      <c r="K31" s="561">
        <f>'F.F.M.ESTIIMACIONES 2014'!K27</f>
        <v>37088604</v>
      </c>
      <c r="L31" s="561">
        <f>'F.F.M.ESTIIMACIONES 2014'!L27</f>
        <v>37002228</v>
      </c>
      <c r="M31" s="561">
        <f>'F.F.M.ESTIIMACIONES 2014'!M27</f>
        <v>33241703</v>
      </c>
      <c r="N31" s="561">
        <f>'F.F.M.ESTIIMACIONES 2014'!N27</f>
        <v>37287098.000000007</v>
      </c>
      <c r="O31" s="561">
        <f>SUM(C31:N31)</f>
        <v>432473544</v>
      </c>
      <c r="P31" s="561"/>
    </row>
    <row r="32" spans="1:16" x14ac:dyDescent="0.2">
      <c r="A32" s="552" t="s">
        <v>309</v>
      </c>
      <c r="B32" s="598"/>
      <c r="C32" s="561">
        <f>C30-C31</f>
        <v>10335678.999999993</v>
      </c>
      <c r="D32" s="561">
        <f t="shared" ref="D32:N32" si="26">D30-D31</f>
        <v>24680747.000000007</v>
      </c>
      <c r="E32" s="561">
        <f t="shared" si="26"/>
        <v>7803987</v>
      </c>
      <c r="F32" s="561">
        <f t="shared" si="26"/>
        <v>13924626.999999993</v>
      </c>
      <c r="G32" s="561">
        <f t="shared" si="26"/>
        <v>31350411</v>
      </c>
      <c r="H32" s="561">
        <f t="shared" si="26"/>
        <v>27804822.999999993</v>
      </c>
      <c r="I32" s="561">
        <f t="shared" si="26"/>
        <v>9658190.9999999925</v>
      </c>
      <c r="J32" s="561">
        <f t="shared" si="26"/>
        <v>18061453</v>
      </c>
      <c r="K32" s="561">
        <f t="shared" si="26"/>
        <v>11127592</v>
      </c>
      <c r="L32" s="561">
        <f t="shared" si="26"/>
        <v>-5072563.9999999963</v>
      </c>
      <c r="M32" s="561">
        <f t="shared" si="26"/>
        <v>13404314.000000007</v>
      </c>
      <c r="N32" s="561">
        <f t="shared" si="26"/>
        <v>9649889.9999999925</v>
      </c>
      <c r="O32" s="561">
        <f t="shared" ref="O32:O34" si="27">SUM(C32:N32)</f>
        <v>172729150</v>
      </c>
      <c r="P32" s="561"/>
    </row>
    <row r="33" spans="1:16" x14ac:dyDescent="0.2">
      <c r="A33" s="552">
        <v>0.7</v>
      </c>
      <c r="C33" s="561">
        <f>C32*$A$33</f>
        <v>7234975.2999999942</v>
      </c>
      <c r="D33" s="561">
        <f t="shared" ref="D33:N33" si="28">D32*$A$33</f>
        <v>17276522.900000006</v>
      </c>
      <c r="E33" s="561">
        <f t="shared" si="28"/>
        <v>5462790.8999999994</v>
      </c>
      <c r="F33" s="561">
        <f t="shared" si="28"/>
        <v>9747238.8999999948</v>
      </c>
      <c r="G33" s="561">
        <f t="shared" si="28"/>
        <v>21945287.699999999</v>
      </c>
      <c r="H33" s="561">
        <f t="shared" si="28"/>
        <v>19463376.099999994</v>
      </c>
      <c r="I33" s="561">
        <f t="shared" si="28"/>
        <v>6760733.6999999946</v>
      </c>
      <c r="J33" s="561">
        <f t="shared" si="28"/>
        <v>12643017.1</v>
      </c>
      <c r="K33" s="561">
        <f t="shared" si="28"/>
        <v>7789314.3999999994</v>
      </c>
      <c r="L33" s="561">
        <f t="shared" si="28"/>
        <v>-3550794.799999997</v>
      </c>
      <c r="M33" s="561">
        <f t="shared" si="28"/>
        <v>9383019.8000000045</v>
      </c>
      <c r="N33" s="561">
        <f t="shared" si="28"/>
        <v>6754922.9999999944</v>
      </c>
      <c r="O33" s="561">
        <f t="shared" si="27"/>
        <v>120910404.99999997</v>
      </c>
      <c r="P33" s="561"/>
    </row>
    <row r="34" spans="1:16" x14ac:dyDescent="0.2">
      <c r="A34" s="552">
        <v>0.3</v>
      </c>
      <c r="C34" s="561">
        <f>C32*$A$34</f>
        <v>3100703.6999999979</v>
      </c>
      <c r="D34" s="561">
        <f t="shared" ref="D34:N34" si="29">D32*$A$34</f>
        <v>7404224.1000000024</v>
      </c>
      <c r="E34" s="561">
        <f t="shared" si="29"/>
        <v>2341196.1</v>
      </c>
      <c r="F34" s="561">
        <f t="shared" si="29"/>
        <v>4177388.0999999978</v>
      </c>
      <c r="G34" s="561">
        <f t="shared" si="29"/>
        <v>9405123.2999999989</v>
      </c>
      <c r="H34" s="561">
        <f t="shared" si="29"/>
        <v>8341446.8999999976</v>
      </c>
      <c r="I34" s="561">
        <f t="shared" si="29"/>
        <v>2897457.2999999975</v>
      </c>
      <c r="J34" s="561">
        <f t="shared" si="29"/>
        <v>5418435.8999999994</v>
      </c>
      <c r="K34" s="561">
        <f t="shared" si="29"/>
        <v>3338277.6</v>
      </c>
      <c r="L34" s="561">
        <f t="shared" si="29"/>
        <v>-1521769.1999999988</v>
      </c>
      <c r="M34" s="561">
        <f t="shared" si="29"/>
        <v>4021294.200000002</v>
      </c>
      <c r="N34" s="561">
        <f t="shared" si="29"/>
        <v>2894966.9999999977</v>
      </c>
      <c r="O34" s="561">
        <f t="shared" si="27"/>
        <v>51818745</v>
      </c>
      <c r="P34" s="561"/>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8"/>
  <sheetViews>
    <sheetView topLeftCell="A5" workbookViewId="0">
      <selection activeCell="C32" sqref="C32"/>
    </sheetView>
  </sheetViews>
  <sheetFormatPr baseColWidth="10" defaultRowHeight="12.75" x14ac:dyDescent="0.2"/>
  <cols>
    <col min="1" max="1" width="16" style="552" customWidth="1"/>
    <col min="2" max="2" width="9.28515625" style="552" bestFit="1" customWidth="1"/>
    <col min="3" max="3" width="13.28515625" style="552" bestFit="1" customWidth="1"/>
    <col min="4" max="14" width="12.7109375" style="552" bestFit="1" customWidth="1"/>
    <col min="15" max="15" width="14.85546875" style="552" customWidth="1"/>
    <col min="16" max="16" width="13.7109375" style="552" bestFit="1" customWidth="1"/>
    <col min="17"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318</v>
      </c>
      <c r="B4" s="1215"/>
      <c r="C4" s="1215"/>
      <c r="D4" s="1215"/>
      <c r="E4" s="1215"/>
      <c r="F4" s="1215"/>
      <c r="G4" s="1215"/>
      <c r="H4" s="1215"/>
      <c r="I4" s="1215"/>
      <c r="J4" s="1215"/>
      <c r="K4" s="1215"/>
      <c r="L4" s="1215"/>
      <c r="M4" s="1215"/>
      <c r="N4" s="1215"/>
      <c r="O4" s="1215"/>
    </row>
    <row r="5" spans="1:15" ht="13.5" thickBot="1" x14ac:dyDescent="0.25"/>
    <row r="6" spans="1:15" ht="34.5" thickBot="1" x14ac:dyDescent="0.25">
      <c r="A6" s="553" t="s">
        <v>13</v>
      </c>
      <c r="B6" s="599" t="s">
        <v>320</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58">
        <f>(FFM!G8+FFM!J8)/2</f>
        <v>2.2640991441239571</v>
      </c>
      <c r="C7" s="584">
        <f t="shared" ref="C7:C26" si="0">$C$32*B7/100</f>
        <v>163807.01384487958</v>
      </c>
      <c r="D7" s="585">
        <f t="shared" ref="D7:D26" si="1">$D$32*B7/100</f>
        <v>391157.60711327958</v>
      </c>
      <c r="E7" s="584">
        <f t="shared" ref="E7:E26" si="2">$E$32*B7/100</f>
        <v>123683.00201218139</v>
      </c>
      <c r="F7" s="585">
        <f t="shared" ref="F7:F26" si="3">$F$32*B7/100</f>
        <v>220687.15251061731</v>
      </c>
      <c r="G7" s="584">
        <f t="shared" ref="G7:G26" si="4">$G$32*B7/100</f>
        <v>496863.07099123998</v>
      </c>
      <c r="H7" s="584">
        <f t="shared" ref="H7:H26" si="5">$H$32*B7/100</f>
        <v>440670.13169772667</v>
      </c>
      <c r="I7" s="586">
        <f t="shared" ref="I7:I26" si="6">$I$32*B7/100</f>
        <v>153069.71383819979</v>
      </c>
      <c r="J7" s="585">
        <f t="shared" ref="J7:J26" si="7">$J$32*B7/100</f>
        <v>286250.44195254555</v>
      </c>
      <c r="K7" s="584">
        <f t="shared" ref="K7:K26" si="8">$K$32*B7/100</f>
        <v>176357.80066352413</v>
      </c>
      <c r="L7" s="585">
        <f t="shared" ref="L7:L26" si="9">$L$32*B7/100</f>
        <v>-80393.514676397914</v>
      </c>
      <c r="M7" s="584">
        <f t="shared" ref="M7:M26" si="10">$M$32*B7/100</f>
        <v>212440.87098478153</v>
      </c>
      <c r="N7" s="584">
        <f t="shared" ref="N7:N26" si="11">$N$32*B7/100</f>
        <v>152938.15382923221</v>
      </c>
      <c r="O7" s="587">
        <f t="shared" ref="O7:O27" si="12">SUM(C7:N7)</f>
        <v>2737531.4447618099</v>
      </c>
    </row>
    <row r="8" spans="1:15" x14ac:dyDescent="0.2">
      <c r="A8" s="557" t="s">
        <v>144</v>
      </c>
      <c r="B8" s="558">
        <f>(FFM!G9+FFM!J9)/2</f>
        <v>1.0150813719631504</v>
      </c>
      <c r="C8" s="584">
        <f t="shared" si="0"/>
        <v>73440.886536435006</v>
      </c>
      <c r="D8" s="585">
        <f t="shared" si="1"/>
        <v>175370.76568084792</v>
      </c>
      <c r="E8" s="584">
        <f t="shared" si="2"/>
        <v>55451.772815198128</v>
      </c>
      <c r="F8" s="585">
        <f t="shared" si="3"/>
        <v>98942.406354645849</v>
      </c>
      <c r="G8" s="584">
        <f t="shared" si="4"/>
        <v>222762.52746642049</v>
      </c>
      <c r="H8" s="584">
        <f t="shared" si="5"/>
        <v>197569.10514622784</v>
      </c>
      <c r="I8" s="584">
        <f t="shared" si="6"/>
        <v>68626.94839673501</v>
      </c>
      <c r="J8" s="585">
        <f t="shared" si="7"/>
        <v>128336.91143621571</v>
      </c>
      <c r="K8" s="584">
        <f t="shared" si="8"/>
        <v>79067.879478043236</v>
      </c>
      <c r="L8" s="585">
        <f t="shared" si="9"/>
        <v>-36043.456571436167</v>
      </c>
      <c r="M8" s="584">
        <f t="shared" si="10"/>
        <v>95245.2861174141</v>
      </c>
      <c r="N8" s="584">
        <f t="shared" si="11"/>
        <v>68567.965063454336</v>
      </c>
      <c r="O8" s="587">
        <f t="shared" si="12"/>
        <v>1227338.9979202014</v>
      </c>
    </row>
    <row r="9" spans="1:15" x14ac:dyDescent="0.2">
      <c r="A9" s="557" t="s">
        <v>145</v>
      </c>
      <c r="B9" s="558">
        <f>(FFM!G10+FFM!J10)/2</f>
        <v>0.68554266374834294</v>
      </c>
      <c r="C9" s="584">
        <f t="shared" si="0"/>
        <v>49598.84239315462</v>
      </c>
      <c r="D9" s="585">
        <f t="shared" si="1"/>
        <v>118437.9352917525</v>
      </c>
      <c r="E9" s="584">
        <f t="shared" si="2"/>
        <v>37449.762250862077</v>
      </c>
      <c r="F9" s="585">
        <f t="shared" si="3"/>
        <v>66821.481196974652</v>
      </c>
      <c r="G9" s="584">
        <f t="shared" si="4"/>
        <v>150444.30986581746</v>
      </c>
      <c r="H9" s="584">
        <f t="shared" si="5"/>
        <v>133429.7469712983</v>
      </c>
      <c r="I9" s="584">
        <f t="shared" si="6"/>
        <v>46347.71389591186</v>
      </c>
      <c r="J9" s="585">
        <f t="shared" si="7"/>
        <v>86673.276205498507</v>
      </c>
      <c r="K9" s="584">
        <f t="shared" si="8"/>
        <v>53399.073425493247</v>
      </c>
      <c r="L9" s="585">
        <f t="shared" si="9"/>
        <v>-24342.213256157629</v>
      </c>
      <c r="M9" s="584">
        <f t="shared" si="10"/>
        <v>64324.603876954476</v>
      </c>
      <c r="N9" s="584">
        <f t="shared" si="11"/>
        <v>46307.879068349444</v>
      </c>
      <c r="O9" s="587">
        <f t="shared" si="12"/>
        <v>828892.41118590953</v>
      </c>
    </row>
    <row r="10" spans="1:15" x14ac:dyDescent="0.2">
      <c r="A10" s="557" t="s">
        <v>275</v>
      </c>
      <c r="B10" s="558">
        <f>(FFM!G11+FFM!J11)/2</f>
        <v>26.36251297229829</v>
      </c>
      <c r="C10" s="584">
        <f t="shared" si="0"/>
        <v>1907321.3020050756</v>
      </c>
      <c r="D10" s="585">
        <f t="shared" si="1"/>
        <v>4554525.5906745866</v>
      </c>
      <c r="E10" s="584">
        <f t="shared" si="2"/>
        <v>1440128.9596620305</v>
      </c>
      <c r="F10" s="585">
        <f t="shared" si="3"/>
        <v>2569617.1194534041</v>
      </c>
      <c r="G10" s="584">
        <f t="shared" si="4"/>
        <v>5785329.3167206813</v>
      </c>
      <c r="H10" s="584">
        <f t="shared" si="5"/>
        <v>5131035.0492097037</v>
      </c>
      <c r="I10" s="584">
        <f t="shared" si="6"/>
        <v>1782299.2986850408</v>
      </c>
      <c r="J10" s="585">
        <f t="shared" si="7"/>
        <v>3333017.0230773906</v>
      </c>
      <c r="K10" s="584">
        <f t="shared" si="8"/>
        <v>2053459.0191530986</v>
      </c>
      <c r="L10" s="585">
        <f t="shared" si="9"/>
        <v>-936078.73976969242</v>
      </c>
      <c r="M10" s="584">
        <f t="shared" si="10"/>
        <v>2473599.8119683182</v>
      </c>
      <c r="N10" s="584">
        <f t="shared" si="11"/>
        <v>1780767.4521437595</v>
      </c>
      <c r="O10" s="587">
        <f t="shared" si="12"/>
        <v>31875021.202983398</v>
      </c>
    </row>
    <row r="11" spans="1:15" x14ac:dyDescent="0.2">
      <c r="A11" s="557" t="s">
        <v>147</v>
      </c>
      <c r="B11" s="558">
        <f>(FFM!G12+FFM!J12)/2</f>
        <v>6.8724981068354936</v>
      </c>
      <c r="C11" s="584">
        <f t="shared" si="0"/>
        <v>497223.54052251519</v>
      </c>
      <c r="D11" s="585">
        <f t="shared" si="1"/>
        <v>1187328.709229501</v>
      </c>
      <c r="E11" s="584">
        <f t="shared" si="2"/>
        <v>375430.2011828816</v>
      </c>
      <c r="F11" s="585">
        <f t="shared" si="3"/>
        <v>669878.80887123244</v>
      </c>
      <c r="G11" s="584">
        <f t="shared" si="4"/>
        <v>1508189.4817221025</v>
      </c>
      <c r="H11" s="584">
        <f t="shared" si="5"/>
        <v>1337620.1539987714</v>
      </c>
      <c r="I11" s="584">
        <f t="shared" si="6"/>
        <v>464631.29554068885</v>
      </c>
      <c r="J11" s="585">
        <f t="shared" si="7"/>
        <v>868891.11084438767</v>
      </c>
      <c r="K11" s="584">
        <f t="shared" si="8"/>
        <v>535320.48467546445</v>
      </c>
      <c r="L11" s="585">
        <f t="shared" si="9"/>
        <v>-244028.30540761296</v>
      </c>
      <c r="M11" s="584">
        <f t="shared" si="10"/>
        <v>644847.85811899987</v>
      </c>
      <c r="N11" s="584">
        <f t="shared" si="11"/>
        <v>464231.95529319497</v>
      </c>
      <c r="O11" s="587">
        <f t="shared" si="12"/>
        <v>8309565.2945921272</v>
      </c>
    </row>
    <row r="12" spans="1:15" x14ac:dyDescent="0.2">
      <c r="A12" s="557" t="s">
        <v>276</v>
      </c>
      <c r="B12" s="558">
        <f>(FFM!G13+FFM!J13)/2</f>
        <v>1.9304310336588137</v>
      </c>
      <c r="C12" s="584">
        <f t="shared" si="0"/>
        <v>139666.20846874974</v>
      </c>
      <c r="D12" s="585">
        <f t="shared" si="1"/>
        <v>333511.35959877179</v>
      </c>
      <c r="E12" s="584">
        <f t="shared" si="2"/>
        <v>105455.4108374896</v>
      </c>
      <c r="F12" s="585">
        <f t="shared" si="3"/>
        <v>188163.72465046388</v>
      </c>
      <c r="G12" s="584">
        <f t="shared" si="4"/>
        <v>423638.64418651053</v>
      </c>
      <c r="H12" s="584">
        <f t="shared" si="5"/>
        <v>375727.05243213236</v>
      </c>
      <c r="I12" s="584">
        <f t="shared" si="6"/>
        <v>130511.30144782965</v>
      </c>
      <c r="J12" s="585">
        <f t="shared" si="7"/>
        <v>244064.72568919056</v>
      </c>
      <c r="K12" s="584">
        <f t="shared" si="8"/>
        <v>150367.34248685482</v>
      </c>
      <c r="L12" s="585">
        <f t="shared" si="9"/>
        <v>-68545.644760743351</v>
      </c>
      <c r="M12" s="584">
        <f t="shared" si="10"/>
        <v>181132.72611355127</v>
      </c>
      <c r="N12" s="584">
        <f t="shared" si="11"/>
        <v>130399.12989175685</v>
      </c>
      <c r="O12" s="587">
        <f t="shared" si="12"/>
        <v>2334091.9810425579</v>
      </c>
    </row>
    <row r="13" spans="1:15" x14ac:dyDescent="0.2">
      <c r="A13" s="557" t="s">
        <v>149</v>
      </c>
      <c r="B13" s="558">
        <f>(FFM!G14+FFM!J14)/2</f>
        <v>0.50601948651644502</v>
      </c>
      <c r="C13" s="584">
        <f t="shared" si="0"/>
        <v>36610.384862651597</v>
      </c>
      <c r="D13" s="585">
        <f t="shared" si="1"/>
        <v>87422.572466476064</v>
      </c>
      <c r="E13" s="584">
        <f t="shared" si="2"/>
        <v>27642.786461647083</v>
      </c>
      <c r="F13" s="585">
        <f t="shared" si="3"/>
        <v>49322.928231311162</v>
      </c>
      <c r="G13" s="584">
        <f t="shared" si="4"/>
        <v>111047.43213409657</v>
      </c>
      <c r="H13" s="584">
        <f t="shared" si="5"/>
        <v>98488.475799984444</v>
      </c>
      <c r="I13" s="584">
        <f t="shared" si="6"/>
        <v>34210.629953484226</v>
      </c>
      <c r="J13" s="585">
        <f t="shared" si="7"/>
        <v>63976.130209606337</v>
      </c>
      <c r="K13" s="584">
        <f t="shared" si="8"/>
        <v>39415.448730031509</v>
      </c>
      <c r="L13" s="585">
        <f t="shared" si="9"/>
        <v>-17967.713614212618</v>
      </c>
      <c r="M13" s="584">
        <f t="shared" si="10"/>
        <v>47479.908611696388</v>
      </c>
      <c r="N13" s="584">
        <f t="shared" si="11"/>
        <v>34181.226679181214</v>
      </c>
      <c r="O13" s="587">
        <f t="shared" si="12"/>
        <v>611830.21052595391</v>
      </c>
    </row>
    <row r="14" spans="1:15" x14ac:dyDescent="0.2">
      <c r="A14" s="557" t="s">
        <v>150</v>
      </c>
      <c r="B14" s="558">
        <f>(FFM!G15+FFM!J15)/2</f>
        <v>1.9747121324163293</v>
      </c>
      <c r="C14" s="584">
        <f t="shared" si="0"/>
        <v>142869.93502642459</v>
      </c>
      <c r="D14" s="585">
        <f t="shared" si="1"/>
        <v>341161.59376598557</v>
      </c>
      <c r="E14" s="584">
        <f t="shared" si="2"/>
        <v>107874.39467083517</v>
      </c>
      <c r="F14" s="585">
        <f t="shared" si="3"/>
        <v>192479.90913390386</v>
      </c>
      <c r="G14" s="584">
        <f t="shared" si="4"/>
        <v>433356.25870556838</v>
      </c>
      <c r="H14" s="584">
        <f t="shared" si="5"/>
        <v>384345.64922452002</v>
      </c>
      <c r="I14" s="584">
        <f t="shared" si="6"/>
        <v>133505.0286142593</v>
      </c>
      <c r="J14" s="585">
        <f t="shared" si="7"/>
        <v>249663.19257717114</v>
      </c>
      <c r="K14" s="584">
        <f t="shared" si="8"/>
        <v>153816.53648885217</v>
      </c>
      <c r="L14" s="585">
        <f t="shared" si="9"/>
        <v>-70117.975712808067</v>
      </c>
      <c r="M14" s="584">
        <f t="shared" si="10"/>
        <v>185287.63037762648</v>
      </c>
      <c r="N14" s="584">
        <f t="shared" si="11"/>
        <v>133390.28401638096</v>
      </c>
      <c r="O14" s="587">
        <f t="shared" si="12"/>
        <v>2387632.4368887194</v>
      </c>
    </row>
    <row r="15" spans="1:15" x14ac:dyDescent="0.2">
      <c r="A15" s="557" t="s">
        <v>151</v>
      </c>
      <c r="B15" s="558">
        <f>(FFM!G16+FFM!J16)/2</f>
        <v>1.0290994615568358</v>
      </c>
      <c r="C15" s="584">
        <f t="shared" si="0"/>
        <v>74455.091856070008</v>
      </c>
      <c r="D15" s="585">
        <f t="shared" si="1"/>
        <v>177792.60413964349</v>
      </c>
      <c r="E15" s="584">
        <f t="shared" si="2"/>
        <v>56217.551737875816</v>
      </c>
      <c r="F15" s="585">
        <f t="shared" si="3"/>
        <v>100308.78303655841</v>
      </c>
      <c r="G15" s="584">
        <f t="shared" si="4"/>
        <v>225838.83755779851</v>
      </c>
      <c r="H15" s="584">
        <f t="shared" si="5"/>
        <v>200297.49864588183</v>
      </c>
      <c r="I15" s="584">
        <f t="shared" si="6"/>
        <v>69574.674103991492</v>
      </c>
      <c r="J15" s="585">
        <f t="shared" si="7"/>
        <v>130109.22090063868</v>
      </c>
      <c r="K15" s="584">
        <f t="shared" si="8"/>
        <v>80159.792549369071</v>
      </c>
      <c r="L15" s="585">
        <f t="shared" si="9"/>
        <v>-36541.210167788093</v>
      </c>
      <c r="M15" s="584">
        <f t="shared" si="10"/>
        <v>96560.606239571352</v>
      </c>
      <c r="N15" s="584">
        <f t="shared" si="11"/>
        <v>69514.876221578801</v>
      </c>
      <c r="O15" s="587">
        <f t="shared" si="12"/>
        <v>1244288.3268211891</v>
      </c>
    </row>
    <row r="16" spans="1:15" x14ac:dyDescent="0.2">
      <c r="A16" s="557" t="s">
        <v>152</v>
      </c>
      <c r="B16" s="558">
        <f>(FFM!G17+FFM!J17)/2</f>
        <v>0.61480894132292185</v>
      </c>
      <c r="C16" s="584">
        <f t="shared" si="0"/>
        <v>44481.275046904848</v>
      </c>
      <c r="D16" s="585">
        <f t="shared" si="1"/>
        <v>106217.6075389022</v>
      </c>
      <c r="E16" s="584">
        <f t="shared" si="2"/>
        <v>33585.726898974914</v>
      </c>
      <c r="F16" s="585">
        <f t="shared" si="3"/>
        <v>59926.896289305987</v>
      </c>
      <c r="G16" s="584">
        <f t="shared" si="4"/>
        <v>134921.59097863937</v>
      </c>
      <c r="H16" s="584">
        <f t="shared" si="5"/>
        <v>119662.57654610855</v>
      </c>
      <c r="I16" s="584">
        <f t="shared" si="6"/>
        <v>41565.595286631971</v>
      </c>
      <c r="J16" s="585">
        <f t="shared" si="7"/>
        <v>77730.399583785969</v>
      </c>
      <c r="K16" s="584">
        <f t="shared" si="8"/>
        <v>47889.401398953894</v>
      </c>
      <c r="L16" s="585">
        <f t="shared" si="9"/>
        <v>-21830.603918429344</v>
      </c>
      <c r="M16" s="584">
        <f t="shared" si="10"/>
        <v>57687.644696500174</v>
      </c>
      <c r="N16" s="584">
        <f t="shared" si="11"/>
        <v>41529.870583478521</v>
      </c>
      <c r="O16" s="587">
        <f t="shared" si="12"/>
        <v>743367.98092975689</v>
      </c>
    </row>
    <row r="17" spans="1:16" x14ac:dyDescent="0.2">
      <c r="A17" s="557" t="s">
        <v>153</v>
      </c>
      <c r="B17" s="558">
        <f>(FFM!G18+FFM!J18)/2</f>
        <v>1.5142697980566955</v>
      </c>
      <c r="C17" s="584">
        <f t="shared" si="0"/>
        <v>109557.04586476172</v>
      </c>
      <c r="D17" s="585">
        <f t="shared" si="1"/>
        <v>261613.16842904885</v>
      </c>
      <c r="E17" s="584">
        <f t="shared" si="2"/>
        <v>82721.392729689527</v>
      </c>
      <c r="F17" s="585">
        <f t="shared" si="3"/>
        <v>147599.49480713357</v>
      </c>
      <c r="G17" s="584">
        <f t="shared" si="4"/>
        <v>332310.86373775086</v>
      </c>
      <c r="H17" s="584">
        <f t="shared" si="5"/>
        <v>294728.02596448502</v>
      </c>
      <c r="I17" s="584">
        <f t="shared" si="6"/>
        <v>102375.74854614088</v>
      </c>
      <c r="J17" s="585">
        <f t="shared" si="7"/>
        <v>191449.38950844348</v>
      </c>
      <c r="K17" s="584">
        <f t="shared" si="8"/>
        <v>117951.23543488109</v>
      </c>
      <c r="L17" s="585">
        <f t="shared" si="9"/>
        <v>-53768.613247367597</v>
      </c>
      <c r="M17" s="584">
        <f t="shared" si="10"/>
        <v>142084.23497707982</v>
      </c>
      <c r="N17" s="584">
        <f t="shared" si="11"/>
        <v>102287.75887098518</v>
      </c>
      <c r="O17" s="587">
        <f t="shared" si="12"/>
        <v>1830909.7456230323</v>
      </c>
    </row>
    <row r="18" spans="1:16" x14ac:dyDescent="0.2">
      <c r="A18" s="557" t="s">
        <v>154</v>
      </c>
      <c r="B18" s="558">
        <f>(FFM!G19+FFM!J19)/2</f>
        <v>1.117005257867042</v>
      </c>
      <c r="C18" s="584">
        <f t="shared" si="0"/>
        <v>80815.054506381726</v>
      </c>
      <c r="D18" s="585">
        <f t="shared" si="1"/>
        <v>192979.66916960361</v>
      </c>
      <c r="E18" s="584">
        <f t="shared" si="2"/>
        <v>61019.661579282292</v>
      </c>
      <c r="F18" s="585">
        <f t="shared" si="3"/>
        <v>108877.17100986157</v>
      </c>
      <c r="G18" s="584">
        <f t="shared" si="4"/>
        <v>245130.01746304921</v>
      </c>
      <c r="H18" s="584">
        <f t="shared" si="5"/>
        <v>217406.93439543716</v>
      </c>
      <c r="I18" s="584">
        <f t="shared" si="6"/>
        <v>75517.75089938895</v>
      </c>
      <c r="J18" s="585">
        <f t="shared" si="7"/>
        <v>141223.16576002919</v>
      </c>
      <c r="K18" s="584">
        <f t="shared" si="8"/>
        <v>87007.051399794625</v>
      </c>
      <c r="L18" s="585">
        <f t="shared" si="9"/>
        <v>-39662.564612069487</v>
      </c>
      <c r="M18" s="584">
        <f t="shared" si="10"/>
        <v>104808.82451270566</v>
      </c>
      <c r="N18" s="584">
        <f t="shared" si="11"/>
        <v>75452.845074870071</v>
      </c>
      <c r="O18" s="587">
        <f t="shared" si="12"/>
        <v>1350575.5811583346</v>
      </c>
    </row>
    <row r="19" spans="1:16" x14ac:dyDescent="0.2">
      <c r="A19" s="557" t="s">
        <v>155</v>
      </c>
      <c r="B19" s="558">
        <f>(FFM!G20+FFM!J20)/2</f>
        <v>2.1654266300957796</v>
      </c>
      <c r="C19" s="584">
        <f t="shared" si="0"/>
        <v>156668.08182705191</v>
      </c>
      <c r="D19" s="585">
        <f t="shared" si="1"/>
        <v>374110.42763119581</v>
      </c>
      <c r="E19" s="584">
        <f t="shared" si="2"/>
        <v>118292.72889504889</v>
      </c>
      <c r="F19" s="585">
        <f t="shared" si="3"/>
        <v>211069.3068396548</v>
      </c>
      <c r="G19" s="584">
        <f t="shared" si="4"/>
        <v>475209.10390693357</v>
      </c>
      <c r="H19" s="584">
        <f t="shared" si="5"/>
        <v>421465.12918509723</v>
      </c>
      <c r="I19" s="584">
        <f t="shared" si="6"/>
        <v>146398.7279296596</v>
      </c>
      <c r="J19" s="585">
        <f t="shared" si="7"/>
        <v>273775.25913096318</v>
      </c>
      <c r="K19" s="584">
        <f t="shared" si="8"/>
        <v>168671.8883194853</v>
      </c>
      <c r="L19" s="585">
        <f t="shared" si="9"/>
        <v>-76889.856179256109</v>
      </c>
      <c r="M19" s="584">
        <f t="shared" si="10"/>
        <v>203182.40945635986</v>
      </c>
      <c r="N19" s="584">
        <f t="shared" si="11"/>
        <v>146272.90148446462</v>
      </c>
      <c r="O19" s="587">
        <f t="shared" si="12"/>
        <v>2618226.1084266589</v>
      </c>
    </row>
    <row r="20" spans="1:16" x14ac:dyDescent="0.2">
      <c r="A20" s="557" t="s">
        <v>277</v>
      </c>
      <c r="B20" s="558">
        <f>(FFM!G21+FFM!J21)/2</f>
        <v>0.43458157479748283</v>
      </c>
      <c r="C20" s="584">
        <f t="shared" si="0"/>
        <v>31441.869594948883</v>
      </c>
      <c r="D20" s="585">
        <f t="shared" si="1"/>
        <v>75080.585289067778</v>
      </c>
      <c r="E20" s="584">
        <f t="shared" si="2"/>
        <v>23740.282721113581</v>
      </c>
      <c r="F20" s="585">
        <f t="shared" si="3"/>
        <v>42359.704310892819</v>
      </c>
      <c r="G20" s="584">
        <f t="shared" si="4"/>
        <v>95370.1768804983</v>
      </c>
      <c r="H20" s="584">
        <f t="shared" si="5"/>
        <v>84584.246364136881</v>
      </c>
      <c r="I20" s="584">
        <f t="shared" si="6"/>
        <v>29380.902981324103</v>
      </c>
      <c r="J20" s="585">
        <f t="shared" si="7"/>
        <v>54944.222815095047</v>
      </c>
      <c r="K20" s="584">
        <f t="shared" si="8"/>
        <v>33850.9251854471</v>
      </c>
      <c r="L20" s="585">
        <f t="shared" si="9"/>
        <v>-15431.099959667117</v>
      </c>
      <c r="M20" s="584">
        <f t="shared" si="10"/>
        <v>40776.875210399645</v>
      </c>
      <c r="N20" s="584">
        <f t="shared" si="11"/>
        <v>29355.650749757348</v>
      </c>
      <c r="O20" s="587">
        <f t="shared" si="12"/>
        <v>525454.34214301431</v>
      </c>
    </row>
    <row r="21" spans="1:16" x14ac:dyDescent="0.2">
      <c r="A21" s="557" t="s">
        <v>278</v>
      </c>
      <c r="B21" s="558">
        <f>(FFM!G22+FFM!J22)/2</f>
        <v>1.2600388063078003</v>
      </c>
      <c r="C21" s="584">
        <f t="shared" si="0"/>
        <v>91163.496406784107</v>
      </c>
      <c r="D21" s="585">
        <f t="shared" si="1"/>
        <v>217690.89292065383</v>
      </c>
      <c r="E21" s="584">
        <f t="shared" si="2"/>
        <v>68833.285247451131</v>
      </c>
      <c r="F21" s="585">
        <f t="shared" si="3"/>
        <v>122818.9926835295</v>
      </c>
      <c r="G21" s="584">
        <f t="shared" si="4"/>
        <v>276519.1411758925</v>
      </c>
      <c r="H21" s="584">
        <f t="shared" si="5"/>
        <v>245246.09187763761</v>
      </c>
      <c r="I21" s="584">
        <f t="shared" si="6"/>
        <v>85187.868211129127</v>
      </c>
      <c r="J21" s="585">
        <f t="shared" si="7"/>
        <v>159306.92174813108</v>
      </c>
      <c r="K21" s="584">
        <f t="shared" si="8"/>
        <v>98148.384185321585</v>
      </c>
      <c r="L21" s="585">
        <f t="shared" si="9"/>
        <v>-44741.392412359404</v>
      </c>
      <c r="M21" s="584">
        <f t="shared" si="10"/>
        <v>118229.69068354461</v>
      </c>
      <c r="N21" s="584">
        <f t="shared" si="11"/>
        <v>85114.651136210989</v>
      </c>
      <c r="O21" s="587">
        <f t="shared" si="12"/>
        <v>1523518.0238639268</v>
      </c>
    </row>
    <row r="22" spans="1:16" x14ac:dyDescent="0.2">
      <c r="A22" s="557" t="s">
        <v>279</v>
      </c>
      <c r="B22" s="558">
        <f>(FFM!G23+FFM!J23)/2</f>
        <v>5.2510913664161727</v>
      </c>
      <c r="C22" s="584">
        <f t="shared" si="0"/>
        <v>379915.16334064229</v>
      </c>
      <c r="D22" s="585">
        <f t="shared" si="1"/>
        <v>907206.0024188133</v>
      </c>
      <c r="E22" s="584">
        <f t="shared" si="2"/>
        <v>286856.14131526829</v>
      </c>
      <c r="F22" s="585">
        <f t="shared" si="3"/>
        <v>511836.42034185841</v>
      </c>
      <c r="G22" s="584">
        <f t="shared" si="4"/>
        <v>1152367.1077498903</v>
      </c>
      <c r="H22" s="584">
        <f t="shared" si="5"/>
        <v>1022039.6620002085</v>
      </c>
      <c r="I22" s="584">
        <f t="shared" si="6"/>
        <v>355012.30362708837</v>
      </c>
      <c r="J22" s="585">
        <f t="shared" si="7"/>
        <v>663896.37939262029</v>
      </c>
      <c r="K22" s="584">
        <f t="shared" si="8"/>
        <v>409024.01596141164</v>
      </c>
      <c r="L22" s="585">
        <f t="shared" si="9"/>
        <v>-186455.47918195426</v>
      </c>
      <c r="M22" s="584">
        <f t="shared" si="10"/>
        <v>492710.9426269203</v>
      </c>
      <c r="N22" s="584">
        <f t="shared" si="11"/>
        <v>354707.17846105999</v>
      </c>
      <c r="O22" s="587">
        <f t="shared" si="12"/>
        <v>6349115.8380538272</v>
      </c>
    </row>
    <row r="23" spans="1:16" x14ac:dyDescent="0.2">
      <c r="A23" s="557" t="s">
        <v>159</v>
      </c>
      <c r="B23" s="558">
        <f>(FFM!G24+FFM!J24)/2</f>
        <v>2.0914932262593346</v>
      </c>
      <c r="C23" s="584">
        <f t="shared" si="0"/>
        <v>151319.01832103587</v>
      </c>
      <c r="D23" s="585">
        <f t="shared" si="1"/>
        <v>361337.30618664285</v>
      </c>
      <c r="E23" s="584">
        <f t="shared" si="2"/>
        <v>114253.90163821133</v>
      </c>
      <c r="F23" s="585">
        <f t="shared" si="3"/>
        <v>203862.84134081475</v>
      </c>
      <c r="G23" s="584">
        <f t="shared" si="4"/>
        <v>458984.20572862291</v>
      </c>
      <c r="H23" s="584">
        <f t="shared" si="5"/>
        <v>407075.19273287809</v>
      </c>
      <c r="I23" s="584">
        <f t="shared" si="6"/>
        <v>141400.28738093199</v>
      </c>
      <c r="J23" s="585">
        <f t="shared" si="7"/>
        <v>264427.84624130937</v>
      </c>
      <c r="K23" s="584">
        <f t="shared" si="8"/>
        <v>162912.98304804292</v>
      </c>
      <c r="L23" s="585">
        <f t="shared" si="9"/>
        <v>-74264.632720368623</v>
      </c>
      <c r="M23" s="584">
        <f t="shared" si="10"/>
        <v>196245.22353557227</v>
      </c>
      <c r="N23" s="584">
        <f t="shared" si="11"/>
        <v>141278.75698403371</v>
      </c>
      <c r="O23" s="587">
        <f t="shared" si="12"/>
        <v>2528832.9304177272</v>
      </c>
    </row>
    <row r="24" spans="1:16" x14ac:dyDescent="0.2">
      <c r="A24" s="557" t="s">
        <v>160</v>
      </c>
      <c r="B24" s="558">
        <f>(FFM!G25+FFM!J25)/2</f>
        <v>36.624744728617202</v>
      </c>
      <c r="C24" s="584">
        <f t="shared" si="0"/>
        <v>2649791.2348035043</v>
      </c>
      <c r="D24" s="585">
        <f t="shared" si="1"/>
        <v>6327482.4101060964</v>
      </c>
      <c r="E24" s="584">
        <f t="shared" si="2"/>
        <v>2000733.22218313</v>
      </c>
      <c r="F24" s="585">
        <f t="shared" si="3"/>
        <v>3569901.3652134733</v>
      </c>
      <c r="G24" s="584">
        <f t="shared" si="4"/>
        <v>8037405.6000856292</v>
      </c>
      <c r="H24" s="584">
        <f t="shared" si="5"/>
        <v>7128411.8121956885</v>
      </c>
      <c r="I24" s="584">
        <f t="shared" si="6"/>
        <v>2476101.4594065947</v>
      </c>
      <c r="J24" s="585">
        <f t="shared" si="7"/>
        <v>4630472.7388704214</v>
      </c>
      <c r="K24" s="584">
        <f t="shared" si="8"/>
        <v>2852816.5151094203</v>
      </c>
      <c r="L24" s="585">
        <f t="shared" si="9"/>
        <v>-1300469.5313370125</v>
      </c>
      <c r="M24" s="584">
        <f t="shared" si="10"/>
        <v>3436507.0495856102</v>
      </c>
      <c r="N24" s="584">
        <f t="shared" si="11"/>
        <v>2473973.3053646488</v>
      </c>
      <c r="O24" s="587">
        <f t="shared" si="12"/>
        <v>44283127.181587204</v>
      </c>
    </row>
    <row r="25" spans="1:16" x14ac:dyDescent="0.2">
      <c r="A25" s="557" t="s">
        <v>161</v>
      </c>
      <c r="B25" s="558">
        <f>(FFM!G26+FFM!J26)/2</f>
        <v>1.3333011314457046</v>
      </c>
      <c r="C25" s="584">
        <f t="shared" si="0"/>
        <v>96464.007534717195</v>
      </c>
      <c r="D25" s="585">
        <f t="shared" si="1"/>
        <v>230348.07530017634</v>
      </c>
      <c r="E25" s="584">
        <f t="shared" si="2"/>
        <v>72835.452878212978</v>
      </c>
      <c r="F25" s="585">
        <f t="shared" si="3"/>
        <v>129960.04653841577</v>
      </c>
      <c r="G25" s="584">
        <f t="shared" si="4"/>
        <v>292596.76920311502</v>
      </c>
      <c r="H25" s="584">
        <f t="shared" si="5"/>
        <v>259505.41375883279</v>
      </c>
      <c r="I25" s="584">
        <f t="shared" si="6"/>
        <v>90140.938916130981</v>
      </c>
      <c r="J25" s="585">
        <f t="shared" si="7"/>
        <v>168569.49004317392</v>
      </c>
      <c r="K25" s="584">
        <f t="shared" si="8"/>
        <v>103855.01702706318</v>
      </c>
      <c r="L25" s="585">
        <f t="shared" si="9"/>
        <v>-47342.787243715211</v>
      </c>
      <c r="M25" s="584">
        <f t="shared" si="10"/>
        <v>125103.90915717455</v>
      </c>
      <c r="N25" s="584">
        <f t="shared" si="11"/>
        <v>90063.464787286051</v>
      </c>
      <c r="O25" s="587">
        <f t="shared" si="12"/>
        <v>1612099.7979005836</v>
      </c>
    </row>
    <row r="26" spans="1:16" ht="13.5" thickBot="1" x14ac:dyDescent="0.25">
      <c r="A26" s="557" t="s">
        <v>162</v>
      </c>
      <c r="B26" s="558">
        <f>(FFM!G27+FFM!J27)/2</f>
        <v>4.9532421656962047</v>
      </c>
      <c r="C26" s="584">
        <f t="shared" si="0"/>
        <v>358365.84723730519</v>
      </c>
      <c r="D26" s="585">
        <f t="shared" si="1"/>
        <v>855748.01704896102</v>
      </c>
      <c r="E26" s="584">
        <f t="shared" si="2"/>
        <v>270585.26228261518</v>
      </c>
      <c r="F26" s="585">
        <f t="shared" si="3"/>
        <v>482804.34718594269</v>
      </c>
      <c r="G26" s="584">
        <f t="shared" si="4"/>
        <v>1087003.2437397428</v>
      </c>
      <c r="H26" s="584">
        <f t="shared" si="5"/>
        <v>964068.15185323718</v>
      </c>
      <c r="I26" s="590">
        <f t="shared" si="6"/>
        <v>334875.51233883289</v>
      </c>
      <c r="J26" s="585">
        <f t="shared" si="7"/>
        <v>626239.25401338143</v>
      </c>
      <c r="K26" s="584">
        <f t="shared" si="8"/>
        <v>385823.60527944635</v>
      </c>
      <c r="L26" s="585">
        <f t="shared" si="9"/>
        <v>-175879.46525094807</v>
      </c>
      <c r="M26" s="584">
        <f t="shared" si="10"/>
        <v>464763.69314922392</v>
      </c>
      <c r="N26" s="584">
        <f t="shared" si="11"/>
        <v>334587.69429631077</v>
      </c>
      <c r="O26" s="587">
        <f t="shared" si="12"/>
        <v>5988985.1631740518</v>
      </c>
    </row>
    <row r="27" spans="1:16" ht="13.5" thickBot="1" x14ac:dyDescent="0.25">
      <c r="A27" s="562" t="s">
        <v>280</v>
      </c>
      <c r="B27" s="578">
        <f t="shared" ref="B27:N27" si="13">SUM(B7:B26)</f>
        <v>100</v>
      </c>
      <c r="C27" s="592">
        <f t="shared" si="13"/>
        <v>7234975.2999999933</v>
      </c>
      <c r="D27" s="592">
        <f t="shared" si="13"/>
        <v>17276522.900000006</v>
      </c>
      <c r="E27" s="592">
        <f t="shared" si="13"/>
        <v>5462790.8999999994</v>
      </c>
      <c r="F27" s="592">
        <f t="shared" si="13"/>
        <v>9747238.8999999966</v>
      </c>
      <c r="G27" s="592">
        <f t="shared" si="13"/>
        <v>21945287.699999996</v>
      </c>
      <c r="H27" s="592">
        <f t="shared" si="13"/>
        <v>19463376.099999994</v>
      </c>
      <c r="I27" s="592">
        <f t="shared" si="13"/>
        <v>6760733.6999999946</v>
      </c>
      <c r="J27" s="592">
        <f t="shared" si="13"/>
        <v>12643017.100000001</v>
      </c>
      <c r="K27" s="592">
        <f t="shared" si="13"/>
        <v>7789314.3999999994</v>
      </c>
      <c r="L27" s="592">
        <f t="shared" si="13"/>
        <v>-3550794.7999999966</v>
      </c>
      <c r="M27" s="592">
        <f t="shared" si="13"/>
        <v>9383019.8000000026</v>
      </c>
      <c r="N27" s="592">
        <f t="shared" si="13"/>
        <v>6754922.9999999935</v>
      </c>
      <c r="O27" s="592">
        <f t="shared" si="12"/>
        <v>120910404.99999997</v>
      </c>
    </row>
    <row r="28" spans="1:16" x14ac:dyDescent="0.2">
      <c r="A28" s="565"/>
      <c r="B28" s="565"/>
      <c r="C28" s="565"/>
      <c r="D28" s="565"/>
      <c r="E28" s="565"/>
      <c r="F28" s="565"/>
      <c r="G28" s="565"/>
      <c r="H28" s="565"/>
      <c r="I28" s="565"/>
      <c r="J28" s="565"/>
      <c r="K28" s="565"/>
      <c r="L28" s="565"/>
      <c r="M28" s="565"/>
      <c r="N28" s="565"/>
      <c r="O28" s="565"/>
      <c r="P28" s="561"/>
    </row>
    <row r="29" spans="1:16" x14ac:dyDescent="0.2">
      <c r="A29" s="566" t="s">
        <v>165</v>
      </c>
      <c r="C29" s="561">
        <f>'X22.55 POE'!B22</f>
        <v>45767328</v>
      </c>
      <c r="D29" s="561">
        <f>'X22.55 POE'!C22</f>
        <v>65614901</v>
      </c>
      <c r="E29" s="561">
        <f>'X22.55 POE'!D22</f>
        <v>42379059</v>
      </c>
      <c r="F29" s="561">
        <f>'X22.55 POE'!E22</f>
        <v>52080427.999999993</v>
      </c>
      <c r="G29" s="561">
        <f>'X22.55 POE'!F22</f>
        <v>63622938</v>
      </c>
      <c r="H29" s="561">
        <f>'X22.55 POE'!G22</f>
        <v>62371037</v>
      </c>
      <c r="I29" s="561">
        <f>'X22.55 POE'!H22</f>
        <v>48324314</v>
      </c>
      <c r="J29" s="561">
        <f>'X22.55 POE'!I22</f>
        <v>51313824</v>
      </c>
      <c r="K29" s="561">
        <f>'X22.55 POE'!J22</f>
        <v>48216196</v>
      </c>
      <c r="L29" s="561">
        <f>'X22.55 POE'!K22</f>
        <v>31929664.000000004</v>
      </c>
      <c r="M29" s="561">
        <f>'X22.55 POE'!L22</f>
        <v>46646017.000000007</v>
      </c>
      <c r="N29" s="561">
        <f>'X22.55 POE'!M22</f>
        <v>46936988</v>
      </c>
      <c r="O29" s="561">
        <f>SUM(C29:N29)</f>
        <v>605202694</v>
      </c>
    </row>
    <row r="30" spans="1:16" x14ac:dyDescent="0.2">
      <c r="A30" s="552" t="s">
        <v>319</v>
      </c>
      <c r="C30" s="561">
        <f>'F.F.M.ESTIIMACIONES 2014'!C27</f>
        <v>35431649.000000007</v>
      </c>
      <c r="D30" s="561">
        <f>'F.F.M.ESTIIMACIONES 2014'!D27</f>
        <v>40934153.999999993</v>
      </c>
      <c r="E30" s="561">
        <f>'F.F.M.ESTIIMACIONES 2014'!E27</f>
        <v>34575072</v>
      </c>
      <c r="F30" s="561">
        <f>'F.F.M.ESTIIMACIONES 2014'!F27</f>
        <v>38155801</v>
      </c>
      <c r="G30" s="561">
        <f>'F.F.M.ESTIIMACIONES 2014'!G27</f>
        <v>32272527</v>
      </c>
      <c r="H30" s="561">
        <f>'F.F.M.ESTIIMACIONES 2014'!H27</f>
        <v>34566214.000000007</v>
      </c>
      <c r="I30" s="561">
        <f>'F.F.M.ESTIIMACIONES 2014'!I27</f>
        <v>38666123.000000007</v>
      </c>
      <c r="J30" s="561">
        <f>'F.F.M.ESTIIMACIONES 2014'!J27</f>
        <v>33252371</v>
      </c>
      <c r="K30" s="561">
        <f>'F.F.M.ESTIIMACIONES 2014'!K27</f>
        <v>37088604</v>
      </c>
      <c r="L30" s="561">
        <f>'F.F.M.ESTIIMACIONES 2014'!L27</f>
        <v>37002228</v>
      </c>
      <c r="M30" s="561">
        <f>'F.F.M.ESTIIMACIONES 2014'!M27</f>
        <v>33241703</v>
      </c>
      <c r="N30" s="561">
        <f>'F.F.M.ESTIIMACIONES 2014'!N27</f>
        <v>37287098.000000007</v>
      </c>
      <c r="O30" s="561">
        <f>SUM(C30:N30)</f>
        <v>432473544</v>
      </c>
    </row>
    <row r="31" spans="1:16" x14ac:dyDescent="0.2">
      <c r="A31" s="552" t="s">
        <v>309</v>
      </c>
      <c r="C31" s="561">
        <f>C29-C30</f>
        <v>10335678.999999993</v>
      </c>
      <c r="D31" s="561">
        <f t="shared" ref="D31:N31" si="14">D29-D30</f>
        <v>24680747.000000007</v>
      </c>
      <c r="E31" s="561">
        <f t="shared" si="14"/>
        <v>7803987</v>
      </c>
      <c r="F31" s="561">
        <f t="shared" si="14"/>
        <v>13924626.999999993</v>
      </c>
      <c r="G31" s="561">
        <f t="shared" si="14"/>
        <v>31350411</v>
      </c>
      <c r="H31" s="561">
        <f t="shared" si="14"/>
        <v>27804822.999999993</v>
      </c>
      <c r="I31" s="561">
        <f t="shared" si="14"/>
        <v>9658190.9999999925</v>
      </c>
      <c r="J31" s="561">
        <f t="shared" si="14"/>
        <v>18061453</v>
      </c>
      <c r="K31" s="561">
        <f t="shared" si="14"/>
        <v>11127592</v>
      </c>
      <c r="L31" s="561">
        <f t="shared" si="14"/>
        <v>-5072563.9999999963</v>
      </c>
      <c r="M31" s="561">
        <f t="shared" si="14"/>
        <v>13404314.000000007</v>
      </c>
      <c r="N31" s="561">
        <f t="shared" si="14"/>
        <v>9649889.9999999925</v>
      </c>
      <c r="O31" s="561">
        <f t="shared" ref="O31" si="15">O29-O30</f>
        <v>172729150</v>
      </c>
    </row>
    <row r="32" spans="1:16" x14ac:dyDescent="0.2">
      <c r="A32" s="600">
        <v>0.7</v>
      </c>
      <c r="B32" s="600"/>
      <c r="C32" s="561">
        <f>C31*0.7</f>
        <v>7234975.2999999942</v>
      </c>
      <c r="D32" s="561">
        <f t="shared" ref="D32:N32" si="16">D31*0.7</f>
        <v>17276522.900000006</v>
      </c>
      <c r="E32" s="561">
        <f t="shared" si="16"/>
        <v>5462790.8999999994</v>
      </c>
      <c r="F32" s="561">
        <f t="shared" si="16"/>
        <v>9747238.8999999948</v>
      </c>
      <c r="G32" s="561">
        <f t="shared" si="16"/>
        <v>21945287.699999999</v>
      </c>
      <c r="H32" s="561">
        <f t="shared" si="16"/>
        <v>19463376.099999994</v>
      </c>
      <c r="I32" s="561">
        <f t="shared" si="16"/>
        <v>6760733.6999999946</v>
      </c>
      <c r="J32" s="561">
        <f t="shared" si="16"/>
        <v>12643017.1</v>
      </c>
      <c r="K32" s="561">
        <f t="shared" si="16"/>
        <v>7789314.3999999994</v>
      </c>
      <c r="L32" s="561">
        <f t="shared" si="16"/>
        <v>-3550794.799999997</v>
      </c>
      <c r="M32" s="561">
        <f t="shared" si="16"/>
        <v>9383019.8000000045</v>
      </c>
      <c r="N32" s="561">
        <f t="shared" si="16"/>
        <v>6754922.9999999944</v>
      </c>
      <c r="O32" s="561">
        <f t="shared" ref="O32" si="17">O31*0.7</f>
        <v>120910404.99999999</v>
      </c>
    </row>
    <row r="33" spans="1:15" x14ac:dyDescent="0.2">
      <c r="A33" s="600">
        <v>0.3</v>
      </c>
      <c r="B33" s="600"/>
      <c r="C33" s="561">
        <f>C31*0.3</f>
        <v>3100703.6999999979</v>
      </c>
      <c r="D33" s="561">
        <f t="shared" ref="D33:N33" si="18">D31*0.3</f>
        <v>7404224.1000000024</v>
      </c>
      <c r="E33" s="561">
        <f t="shared" si="18"/>
        <v>2341196.1</v>
      </c>
      <c r="F33" s="561">
        <f t="shared" si="18"/>
        <v>4177388.0999999978</v>
      </c>
      <c r="G33" s="561">
        <f t="shared" si="18"/>
        <v>9405123.2999999989</v>
      </c>
      <c r="H33" s="561">
        <f t="shared" si="18"/>
        <v>8341446.8999999976</v>
      </c>
      <c r="I33" s="561">
        <f t="shared" si="18"/>
        <v>2897457.2999999975</v>
      </c>
      <c r="J33" s="561">
        <f t="shared" si="18"/>
        <v>5418435.8999999994</v>
      </c>
      <c r="K33" s="561">
        <f t="shared" si="18"/>
        <v>3338277.6</v>
      </c>
      <c r="L33" s="561">
        <f t="shared" si="18"/>
        <v>-1521769.1999999988</v>
      </c>
      <c r="M33" s="561">
        <f t="shared" si="18"/>
        <v>4021294.200000002</v>
      </c>
      <c r="N33" s="561">
        <f t="shared" si="18"/>
        <v>2894966.9999999977</v>
      </c>
      <c r="O33" s="561">
        <f t="shared" ref="O33" si="19">O31*0.3</f>
        <v>51818745</v>
      </c>
    </row>
    <row r="37" spans="1:15" x14ac:dyDescent="0.2">
      <c r="B37" s="552">
        <f>FFM!G8+FFM!J8</f>
        <v>4.5281982882479141</v>
      </c>
    </row>
    <row r="38" spans="1:15" x14ac:dyDescent="0.2">
      <c r="B38" s="552">
        <f>B37/2</f>
        <v>2.2640991441239571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activeCell="C32" sqref="C32"/>
    </sheetView>
  </sheetViews>
  <sheetFormatPr baseColWidth="10" defaultRowHeight="12.75" x14ac:dyDescent="0.2"/>
  <cols>
    <col min="1" max="1" width="16" style="552" customWidth="1"/>
    <col min="2" max="2" width="9.28515625" style="552" bestFit="1" customWidth="1"/>
    <col min="3" max="12" width="10.85546875" style="552" bestFit="1" customWidth="1"/>
    <col min="13" max="13" width="11.7109375" style="552" bestFit="1" customWidth="1"/>
    <col min="14" max="14" width="10.85546875" style="552" bestFit="1" customWidth="1"/>
    <col min="15" max="16" width="13.7109375" style="552" bestFit="1" customWidth="1"/>
    <col min="17"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318</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53" t="s">
        <v>305</v>
      </c>
      <c r="B6" s="554" t="s">
        <v>273</v>
      </c>
      <c r="C6" s="553" t="s">
        <v>1</v>
      </c>
      <c r="D6" s="555" t="s">
        <v>2</v>
      </c>
      <c r="E6" s="553" t="s">
        <v>3</v>
      </c>
      <c r="F6" s="555" t="s">
        <v>4</v>
      </c>
      <c r="G6" s="553" t="s">
        <v>5</v>
      </c>
      <c r="H6" s="553" t="s">
        <v>6</v>
      </c>
      <c r="I6" s="553" t="s">
        <v>7</v>
      </c>
      <c r="J6" s="555" t="s">
        <v>8</v>
      </c>
      <c r="K6" s="553" t="s">
        <v>9</v>
      </c>
      <c r="L6" s="555" t="s">
        <v>10</v>
      </c>
      <c r="M6" s="553" t="s">
        <v>11</v>
      </c>
      <c r="N6" s="553" t="s">
        <v>12</v>
      </c>
      <c r="O6" s="556" t="s">
        <v>165</v>
      </c>
    </row>
    <row r="7" spans="1:15" x14ac:dyDescent="0.2">
      <c r="A7" s="557" t="s">
        <v>274</v>
      </c>
      <c r="B7" s="577">
        <v>3.6200000000000003E-2</v>
      </c>
      <c r="C7" s="584">
        <v>1282625.6938</v>
      </c>
      <c r="D7" s="585">
        <v>1481816.3748000001</v>
      </c>
      <c r="E7" s="584">
        <v>1251617.6064000002</v>
      </c>
      <c r="F7" s="585">
        <v>1381239.9962000002</v>
      </c>
      <c r="G7" s="584">
        <v>1168265.4774000002</v>
      </c>
      <c r="H7" s="584">
        <v>1251296.9468</v>
      </c>
      <c r="I7" s="586">
        <v>1399713.6526000001</v>
      </c>
      <c r="J7" s="585">
        <v>1203735.8302000002</v>
      </c>
      <c r="K7" s="584">
        <v>1342607.4648000002</v>
      </c>
      <c r="L7" s="585">
        <v>1339480.6536000001</v>
      </c>
      <c r="M7" s="584">
        <v>1203349.6486000002</v>
      </c>
      <c r="N7" s="584">
        <v>1349792.9476000001</v>
      </c>
      <c r="O7" s="587">
        <f t="shared" ref="O7:O27" si="0">SUM(C7:N7)</f>
        <v>15655542.2928</v>
      </c>
    </row>
    <row r="8" spans="1:15" x14ac:dyDescent="0.2">
      <c r="A8" s="557" t="s">
        <v>144</v>
      </c>
      <c r="B8" s="577">
        <v>2.47E-2</v>
      </c>
      <c r="C8" s="584">
        <v>875161.73029999994</v>
      </c>
      <c r="D8" s="585">
        <v>1011073.6038</v>
      </c>
      <c r="E8" s="584">
        <v>854004.27839999995</v>
      </c>
      <c r="F8" s="585">
        <v>942448.28469999996</v>
      </c>
      <c r="G8" s="584">
        <v>797131.41689999995</v>
      </c>
      <c r="H8" s="584">
        <v>853785.48580000002</v>
      </c>
      <c r="I8" s="584">
        <v>955053.23809999996</v>
      </c>
      <c r="J8" s="585">
        <v>821333.56369999994</v>
      </c>
      <c r="K8" s="584">
        <v>916088.51879999996</v>
      </c>
      <c r="L8" s="585">
        <v>913955.03159999999</v>
      </c>
      <c r="M8" s="584">
        <v>821070.06409999996</v>
      </c>
      <c r="N8" s="584">
        <v>920991.32059999998</v>
      </c>
      <c r="O8" s="587">
        <f t="shared" si="0"/>
        <v>10682096.536799997</v>
      </c>
    </row>
    <row r="9" spans="1:15" x14ac:dyDescent="0.2">
      <c r="A9" s="557" t="s">
        <v>145</v>
      </c>
      <c r="B9" s="577">
        <v>2.3300000000000001E-2</v>
      </c>
      <c r="C9" s="584">
        <v>825557.42170000006</v>
      </c>
      <c r="D9" s="585">
        <v>953765.78820000007</v>
      </c>
      <c r="E9" s="584">
        <v>805599.17760000005</v>
      </c>
      <c r="F9" s="585">
        <v>889030.16330000001</v>
      </c>
      <c r="G9" s="584">
        <v>751949.87910000002</v>
      </c>
      <c r="H9" s="584">
        <v>805392.78620000009</v>
      </c>
      <c r="I9" s="584">
        <v>900920.66590000002</v>
      </c>
      <c r="J9" s="585">
        <v>774780.24430000002</v>
      </c>
      <c r="K9" s="584">
        <v>864164.47320000001</v>
      </c>
      <c r="L9" s="585">
        <v>862151.91240000003</v>
      </c>
      <c r="M9" s="584">
        <v>774531.67989999999</v>
      </c>
      <c r="N9" s="584">
        <v>868789.38340000005</v>
      </c>
      <c r="O9" s="587">
        <f t="shared" si="0"/>
        <v>10076633.575200001</v>
      </c>
    </row>
    <row r="10" spans="1:15" x14ac:dyDescent="0.2">
      <c r="A10" s="557" t="s">
        <v>275</v>
      </c>
      <c r="B10" s="577">
        <v>2.81E-2</v>
      </c>
      <c r="C10" s="584">
        <v>995629.33689999999</v>
      </c>
      <c r="D10" s="585">
        <v>1150249.7274</v>
      </c>
      <c r="E10" s="584">
        <v>971559.52320000005</v>
      </c>
      <c r="F10" s="585">
        <v>1072178.0081</v>
      </c>
      <c r="G10" s="584">
        <v>906858.00870000001</v>
      </c>
      <c r="H10" s="584">
        <v>971310.61340000003</v>
      </c>
      <c r="I10" s="584">
        <v>1086518.0563000001</v>
      </c>
      <c r="J10" s="585">
        <v>934391.62509999995</v>
      </c>
      <c r="K10" s="584">
        <v>1042189.7724</v>
      </c>
      <c r="L10" s="585">
        <v>1039762.6068</v>
      </c>
      <c r="M10" s="584">
        <v>934091.85430000001</v>
      </c>
      <c r="N10" s="584">
        <v>1047767.4538</v>
      </c>
      <c r="O10" s="587">
        <f t="shared" si="0"/>
        <v>12152506.586399999</v>
      </c>
    </row>
    <row r="11" spans="1:15" x14ac:dyDescent="0.2">
      <c r="A11" s="557" t="s">
        <v>147</v>
      </c>
      <c r="B11" s="577">
        <v>4.6399999999999997E-2</v>
      </c>
      <c r="C11" s="584">
        <v>1644028.5135999999</v>
      </c>
      <c r="D11" s="585">
        <v>1899344.7455999998</v>
      </c>
      <c r="E11" s="584">
        <v>1604283.3407999999</v>
      </c>
      <c r="F11" s="585">
        <v>1770429.1664</v>
      </c>
      <c r="G11" s="584">
        <v>1497445.2527999999</v>
      </c>
      <c r="H11" s="584">
        <v>1603872.3295999998</v>
      </c>
      <c r="I11" s="584">
        <v>1794108.1072</v>
      </c>
      <c r="J11" s="585">
        <v>1542910.0144</v>
      </c>
      <c r="K11" s="584">
        <v>1720911.2255999998</v>
      </c>
      <c r="L11" s="585">
        <v>1716903.3791999999</v>
      </c>
      <c r="M11" s="584">
        <v>1542415.0192</v>
      </c>
      <c r="N11" s="584">
        <v>1730121.3472</v>
      </c>
      <c r="O11" s="587">
        <f t="shared" si="0"/>
        <v>20066772.441599999</v>
      </c>
    </row>
    <row r="12" spans="1:15" x14ac:dyDescent="0.2">
      <c r="A12" s="557" t="s">
        <v>276</v>
      </c>
      <c r="B12" s="577">
        <v>1.4999999999999999E-2</v>
      </c>
      <c r="C12" s="584">
        <v>531474.73499999999</v>
      </c>
      <c r="D12" s="585">
        <v>614012.30999999994</v>
      </c>
      <c r="E12" s="584">
        <v>518626.07999999996</v>
      </c>
      <c r="F12" s="585">
        <v>572337.01500000001</v>
      </c>
      <c r="G12" s="584">
        <v>484087.90499999997</v>
      </c>
      <c r="H12" s="584">
        <v>518493.20999999996</v>
      </c>
      <c r="I12" s="584">
        <v>579991.84499999997</v>
      </c>
      <c r="J12" s="585">
        <v>498785.565</v>
      </c>
      <c r="K12" s="584">
        <v>556329.05999999994</v>
      </c>
      <c r="L12" s="585">
        <v>555033.41999999993</v>
      </c>
      <c r="M12" s="584">
        <v>498625.54499999998</v>
      </c>
      <c r="N12" s="584">
        <v>559306.47</v>
      </c>
      <c r="O12" s="587">
        <f t="shared" si="0"/>
        <v>6487103.1599999992</v>
      </c>
    </row>
    <row r="13" spans="1:15" x14ac:dyDescent="0.2">
      <c r="A13" s="557" t="s">
        <v>149</v>
      </c>
      <c r="B13" s="577">
        <v>1.5299999999999999E-2</v>
      </c>
      <c r="C13" s="584">
        <v>542104.22970000003</v>
      </c>
      <c r="D13" s="585">
        <v>626292.55619999999</v>
      </c>
      <c r="E13" s="584">
        <v>528998.60159999994</v>
      </c>
      <c r="F13" s="585">
        <v>583783.75529999996</v>
      </c>
      <c r="G13" s="584">
        <v>493769.66310000001</v>
      </c>
      <c r="H13" s="584">
        <v>528863.07420000003</v>
      </c>
      <c r="I13" s="584">
        <v>591591.68189999997</v>
      </c>
      <c r="J13" s="585">
        <v>508761.27629999997</v>
      </c>
      <c r="K13" s="584">
        <v>567455.64119999995</v>
      </c>
      <c r="L13" s="585">
        <v>566134.08840000001</v>
      </c>
      <c r="M13" s="584">
        <v>508598.05589999998</v>
      </c>
      <c r="N13" s="584">
        <v>570492.59939999995</v>
      </c>
      <c r="O13" s="587">
        <f t="shared" si="0"/>
        <v>6616845.223199999</v>
      </c>
    </row>
    <row r="14" spans="1:15" x14ac:dyDescent="0.2">
      <c r="A14" s="557" t="s">
        <v>150</v>
      </c>
      <c r="B14" s="577">
        <v>3.1600000000000003E-2</v>
      </c>
      <c r="C14" s="584">
        <v>1119640.1084</v>
      </c>
      <c r="D14" s="585">
        <v>1293519.2664000001</v>
      </c>
      <c r="E14" s="584">
        <v>1092572.2752</v>
      </c>
      <c r="F14" s="585">
        <v>1205723.3116000001</v>
      </c>
      <c r="G14" s="584">
        <v>1019811.8532000001</v>
      </c>
      <c r="H14" s="584">
        <v>1092292.3624000002</v>
      </c>
      <c r="I14" s="584">
        <v>1221849.4868000001</v>
      </c>
      <c r="J14" s="585">
        <v>1050774.9236000001</v>
      </c>
      <c r="K14" s="584">
        <v>1171999.8864000002</v>
      </c>
      <c r="L14" s="585">
        <v>1169270.4048000001</v>
      </c>
      <c r="M14" s="584">
        <v>1050437.8148000001</v>
      </c>
      <c r="N14" s="584">
        <v>1178272.2968000001</v>
      </c>
      <c r="O14" s="587">
        <f t="shared" si="0"/>
        <v>13666163.9904</v>
      </c>
    </row>
    <row r="15" spans="1:15" x14ac:dyDescent="0.2">
      <c r="A15" s="557" t="s">
        <v>151</v>
      </c>
      <c r="B15" s="577">
        <v>2.81E-2</v>
      </c>
      <c r="C15" s="584">
        <v>995629.33689999999</v>
      </c>
      <c r="D15" s="585">
        <v>1150249.7274</v>
      </c>
      <c r="E15" s="584">
        <v>971559.52320000005</v>
      </c>
      <c r="F15" s="585">
        <v>1072178.0081</v>
      </c>
      <c r="G15" s="584">
        <v>906858.00870000001</v>
      </c>
      <c r="H15" s="584">
        <v>971310.61340000003</v>
      </c>
      <c r="I15" s="584">
        <v>1086518.0563000001</v>
      </c>
      <c r="J15" s="585">
        <v>934391.62509999995</v>
      </c>
      <c r="K15" s="584">
        <v>1042189.7724</v>
      </c>
      <c r="L15" s="585">
        <v>1039762.6068</v>
      </c>
      <c r="M15" s="584">
        <v>934091.85430000001</v>
      </c>
      <c r="N15" s="584">
        <v>1047767.4538</v>
      </c>
      <c r="O15" s="587">
        <f t="shared" si="0"/>
        <v>12152506.586399999</v>
      </c>
    </row>
    <row r="16" spans="1:15" x14ac:dyDescent="0.2">
      <c r="A16" s="557" t="s">
        <v>152</v>
      </c>
      <c r="B16" s="577">
        <v>1.6E-2</v>
      </c>
      <c r="C16" s="584">
        <v>566906.38399999996</v>
      </c>
      <c r="D16" s="585">
        <v>654946.46400000004</v>
      </c>
      <c r="E16" s="584">
        <v>553201.152</v>
      </c>
      <c r="F16" s="585">
        <v>610492.81599999999</v>
      </c>
      <c r="G16" s="584">
        <v>516360.43200000003</v>
      </c>
      <c r="H16" s="584">
        <v>553059.424</v>
      </c>
      <c r="I16" s="584">
        <v>618657.96799999999</v>
      </c>
      <c r="J16" s="585">
        <v>532037.93599999999</v>
      </c>
      <c r="K16" s="584">
        <v>593417.66399999999</v>
      </c>
      <c r="L16" s="585">
        <v>592035.64800000004</v>
      </c>
      <c r="M16" s="584">
        <v>531867.24800000002</v>
      </c>
      <c r="N16" s="584">
        <v>596593.56799999997</v>
      </c>
      <c r="O16" s="587">
        <f t="shared" si="0"/>
        <v>6919576.7039999999</v>
      </c>
    </row>
    <row r="17" spans="1:16" x14ac:dyDescent="0.2">
      <c r="A17" s="557" t="s">
        <v>153</v>
      </c>
      <c r="B17" s="577">
        <v>2.8400000000000002E-2</v>
      </c>
      <c r="C17" s="584">
        <v>1006258.8316</v>
      </c>
      <c r="D17" s="585">
        <v>1162529.9736000001</v>
      </c>
      <c r="E17" s="584">
        <v>981932.04480000003</v>
      </c>
      <c r="F17" s="585">
        <v>1083624.7484000002</v>
      </c>
      <c r="G17" s="584">
        <v>916539.7668000001</v>
      </c>
      <c r="H17" s="584">
        <v>981680.4776000001</v>
      </c>
      <c r="I17" s="584">
        <v>1098117.8932</v>
      </c>
      <c r="J17" s="585">
        <v>944367.33640000003</v>
      </c>
      <c r="K17" s="584">
        <v>1053316.3536</v>
      </c>
      <c r="L17" s="585">
        <v>1050863.2752</v>
      </c>
      <c r="M17" s="584">
        <v>944064.3652</v>
      </c>
      <c r="N17" s="584">
        <v>1058953.5832</v>
      </c>
      <c r="O17" s="587">
        <f t="shared" si="0"/>
        <v>12282248.649600001</v>
      </c>
    </row>
    <row r="18" spans="1:16" x14ac:dyDescent="0.2">
      <c r="A18" s="557" t="s">
        <v>154</v>
      </c>
      <c r="B18" s="577">
        <v>3.3300000000000003E-2</v>
      </c>
      <c r="C18" s="584">
        <v>1179873.9117000001</v>
      </c>
      <c r="D18" s="585">
        <v>1363107.3282000001</v>
      </c>
      <c r="E18" s="584">
        <v>1151349.8976</v>
      </c>
      <c r="F18" s="585">
        <v>1270588.1733000001</v>
      </c>
      <c r="G18" s="584">
        <v>1074675.1491</v>
      </c>
      <c r="H18" s="584">
        <v>1151054.9262000001</v>
      </c>
      <c r="I18" s="584">
        <v>1287581.8959000001</v>
      </c>
      <c r="J18" s="585">
        <v>1107303.9543000001</v>
      </c>
      <c r="K18" s="584">
        <v>1235050.5132000002</v>
      </c>
      <c r="L18" s="585">
        <v>1232174.1924000001</v>
      </c>
      <c r="M18" s="584">
        <v>1106948.7099000001</v>
      </c>
      <c r="N18" s="584">
        <v>1241660.3634000001</v>
      </c>
      <c r="O18" s="587">
        <f t="shared" si="0"/>
        <v>14401369.0152</v>
      </c>
    </row>
    <row r="19" spans="1:16" x14ac:dyDescent="0.2">
      <c r="A19" s="557" t="s">
        <v>155</v>
      </c>
      <c r="B19" s="577">
        <v>4.6899999999999997E-2</v>
      </c>
      <c r="C19" s="584">
        <v>1661744.3380999998</v>
      </c>
      <c r="D19" s="585">
        <v>1919811.8225999998</v>
      </c>
      <c r="E19" s="584">
        <v>1621570.8768</v>
      </c>
      <c r="F19" s="585">
        <v>1789507.0669</v>
      </c>
      <c r="G19" s="584">
        <v>1513581.5163</v>
      </c>
      <c r="H19" s="584">
        <v>1621155.4365999999</v>
      </c>
      <c r="I19" s="584">
        <v>1813441.1686999998</v>
      </c>
      <c r="J19" s="585">
        <v>1559536.1998999999</v>
      </c>
      <c r="K19" s="584">
        <v>1739455.5275999999</v>
      </c>
      <c r="L19" s="585">
        <v>1735404.4931999999</v>
      </c>
      <c r="M19" s="584">
        <v>1559035.8706999999</v>
      </c>
      <c r="N19" s="584">
        <v>1748764.8961999998</v>
      </c>
      <c r="O19" s="587">
        <f t="shared" si="0"/>
        <v>20283009.213600002</v>
      </c>
    </row>
    <row r="20" spans="1:16" x14ac:dyDescent="0.2">
      <c r="A20" s="557" t="s">
        <v>277</v>
      </c>
      <c r="B20" s="577">
        <v>2.1299999999999999E-2</v>
      </c>
      <c r="C20" s="584">
        <v>754694.1237</v>
      </c>
      <c r="D20" s="585">
        <v>871897.48019999999</v>
      </c>
      <c r="E20" s="584">
        <v>736449.03359999997</v>
      </c>
      <c r="F20" s="585">
        <v>812718.56129999994</v>
      </c>
      <c r="G20" s="584">
        <v>687404.82510000002</v>
      </c>
      <c r="H20" s="584">
        <v>736260.35820000002</v>
      </c>
      <c r="I20" s="584">
        <v>823588.41989999998</v>
      </c>
      <c r="J20" s="585">
        <v>708275.50229999993</v>
      </c>
      <c r="K20" s="584">
        <v>789987.26520000002</v>
      </c>
      <c r="L20" s="585">
        <v>788147.45640000002</v>
      </c>
      <c r="M20" s="584">
        <v>708048.27390000003</v>
      </c>
      <c r="N20" s="584">
        <v>794215.18739999994</v>
      </c>
      <c r="O20" s="587">
        <f t="shared" si="0"/>
        <v>9211686.4872000013</v>
      </c>
    </row>
    <row r="21" spans="1:16" x14ac:dyDescent="0.2">
      <c r="A21" s="557" t="s">
        <v>278</v>
      </c>
      <c r="B21" s="577">
        <v>2.81E-2</v>
      </c>
      <c r="C21" s="584">
        <v>995629.33689999999</v>
      </c>
      <c r="D21" s="585">
        <v>1150249.7274</v>
      </c>
      <c r="E21" s="584">
        <v>971559.52320000005</v>
      </c>
      <c r="F21" s="585">
        <v>1072178.0081</v>
      </c>
      <c r="G21" s="584">
        <v>906858.00870000001</v>
      </c>
      <c r="H21" s="584">
        <v>971310.61340000003</v>
      </c>
      <c r="I21" s="584">
        <v>1086518.0563000001</v>
      </c>
      <c r="J21" s="585">
        <v>934391.62509999995</v>
      </c>
      <c r="K21" s="584">
        <v>1042189.7724</v>
      </c>
      <c r="L21" s="585">
        <v>1039762.6068</v>
      </c>
      <c r="M21" s="584">
        <v>934091.85430000001</v>
      </c>
      <c r="N21" s="584">
        <v>1047767.4538</v>
      </c>
      <c r="O21" s="587">
        <f t="shared" si="0"/>
        <v>12152506.586399999</v>
      </c>
    </row>
    <row r="22" spans="1:16" x14ac:dyDescent="0.2">
      <c r="A22" s="557" t="s">
        <v>279</v>
      </c>
      <c r="B22" s="577">
        <v>8.3400000000000002E-2</v>
      </c>
      <c r="C22" s="584">
        <v>2954999.5266</v>
      </c>
      <c r="D22" s="585">
        <v>3413908.4435999999</v>
      </c>
      <c r="E22" s="584">
        <v>2883561.0048000002</v>
      </c>
      <c r="F22" s="585">
        <v>3182193.8034000001</v>
      </c>
      <c r="G22" s="584">
        <v>2691528.7518000002</v>
      </c>
      <c r="H22" s="584">
        <v>2882822.2475999999</v>
      </c>
      <c r="I22" s="584">
        <v>3224754.6581999999</v>
      </c>
      <c r="J22" s="585">
        <v>2773247.7414000002</v>
      </c>
      <c r="K22" s="584">
        <v>3093189.5736000002</v>
      </c>
      <c r="L22" s="585">
        <v>3085985.8152000001</v>
      </c>
      <c r="M22" s="584">
        <v>2772358.0301999999</v>
      </c>
      <c r="N22" s="584">
        <v>3109743.9731999999</v>
      </c>
      <c r="O22" s="587">
        <f t="shared" si="0"/>
        <v>36068293.569600001</v>
      </c>
    </row>
    <row r="23" spans="1:16" x14ac:dyDescent="0.2">
      <c r="A23" s="557" t="s">
        <v>159</v>
      </c>
      <c r="B23" s="577">
        <v>3.5000000000000003E-2</v>
      </c>
      <c r="C23" s="584">
        <v>1240107.7150000001</v>
      </c>
      <c r="D23" s="585">
        <v>1432695.3900000001</v>
      </c>
      <c r="E23" s="584">
        <v>1210127.52</v>
      </c>
      <c r="F23" s="585">
        <v>1335453.0350000001</v>
      </c>
      <c r="G23" s="584">
        <v>1129538.4450000001</v>
      </c>
      <c r="H23" s="584">
        <v>1209817.4900000002</v>
      </c>
      <c r="I23" s="584">
        <v>1353314.3050000002</v>
      </c>
      <c r="J23" s="585">
        <v>1163832.9850000001</v>
      </c>
      <c r="K23" s="584">
        <v>1298101.1400000001</v>
      </c>
      <c r="L23" s="585">
        <v>1295077.9800000002</v>
      </c>
      <c r="M23" s="584">
        <v>1163459.6050000002</v>
      </c>
      <c r="N23" s="584">
        <v>1305048.4300000002</v>
      </c>
      <c r="O23" s="587">
        <f t="shared" si="0"/>
        <v>15136574.040000001</v>
      </c>
    </row>
    <row r="24" spans="1:16" x14ac:dyDescent="0.2">
      <c r="A24" s="557" t="s">
        <v>160</v>
      </c>
      <c r="B24" s="577">
        <v>0.39</v>
      </c>
      <c r="C24" s="584">
        <v>13818343.110000001</v>
      </c>
      <c r="D24" s="585">
        <v>15964320.060000001</v>
      </c>
      <c r="E24" s="584">
        <v>13484278.08</v>
      </c>
      <c r="F24" s="585">
        <v>14880762.390000001</v>
      </c>
      <c r="G24" s="584">
        <v>12586285.530000001</v>
      </c>
      <c r="H24" s="584">
        <v>13480823.460000001</v>
      </c>
      <c r="I24" s="584">
        <v>15079787.970000001</v>
      </c>
      <c r="J24" s="585">
        <v>12968424.690000001</v>
      </c>
      <c r="K24" s="584">
        <v>14464555.560000001</v>
      </c>
      <c r="L24" s="585">
        <v>14430868.92</v>
      </c>
      <c r="M24" s="584">
        <v>12964264.17</v>
      </c>
      <c r="N24" s="584">
        <v>14541968.220000001</v>
      </c>
      <c r="O24" s="587">
        <f t="shared" si="0"/>
        <v>168664682.15999997</v>
      </c>
    </row>
    <row r="25" spans="1:16" x14ac:dyDescent="0.2">
      <c r="A25" s="557" t="s">
        <v>161</v>
      </c>
      <c r="B25" s="577">
        <v>3.7900000000000003E-2</v>
      </c>
      <c r="C25" s="584">
        <v>1342859.4971</v>
      </c>
      <c r="D25" s="585">
        <v>1551404.4366000001</v>
      </c>
      <c r="E25" s="584">
        <v>1310395.2288000002</v>
      </c>
      <c r="F25" s="585">
        <v>1446104.8579000002</v>
      </c>
      <c r="G25" s="584">
        <v>1223128.7733</v>
      </c>
      <c r="H25" s="584">
        <v>1310059.5106000002</v>
      </c>
      <c r="I25" s="584">
        <v>1465446.0617000002</v>
      </c>
      <c r="J25" s="585">
        <v>1260264.8609000002</v>
      </c>
      <c r="K25" s="584">
        <v>1405658.0916000002</v>
      </c>
      <c r="L25" s="585">
        <v>1402384.4412</v>
      </c>
      <c r="M25" s="584">
        <v>1259860.5437</v>
      </c>
      <c r="N25" s="584">
        <v>1413181.0142000001</v>
      </c>
      <c r="O25" s="587">
        <f t="shared" si="0"/>
        <v>16390747.317600001</v>
      </c>
    </row>
    <row r="26" spans="1:16" ht="13.5" thickBot="1" x14ac:dyDescent="0.25">
      <c r="A26" s="557" t="s">
        <v>162</v>
      </c>
      <c r="B26" s="577">
        <v>3.1E-2</v>
      </c>
      <c r="C26" s="584">
        <v>1098381.1189999999</v>
      </c>
      <c r="D26" s="585">
        <v>1268958.774</v>
      </c>
      <c r="E26" s="584">
        <v>1071827.2320000001</v>
      </c>
      <c r="F26" s="585">
        <v>1182829.831</v>
      </c>
      <c r="G26" s="584">
        <v>1000448.3369999999</v>
      </c>
      <c r="H26" s="584">
        <v>1071552.6340000001</v>
      </c>
      <c r="I26" s="590">
        <v>1198649.8130000001</v>
      </c>
      <c r="J26" s="585">
        <v>1030823.501</v>
      </c>
      <c r="K26" s="584">
        <v>1149746.7239999999</v>
      </c>
      <c r="L26" s="585">
        <v>1147069.068</v>
      </c>
      <c r="M26" s="584">
        <v>1030492.7929999999</v>
      </c>
      <c r="N26" s="584">
        <v>1155900.0379999999</v>
      </c>
      <c r="O26" s="587">
        <f t="shared" si="0"/>
        <v>13406679.864</v>
      </c>
    </row>
    <row r="27" spans="1:16" ht="13.5" thickBot="1" x14ac:dyDescent="0.25">
      <c r="A27" s="562" t="s">
        <v>280</v>
      </c>
      <c r="B27" s="578">
        <f t="shared" ref="B27:N27" si="1">SUM(B7:B26)</f>
        <v>1</v>
      </c>
      <c r="C27" s="592">
        <f t="shared" si="1"/>
        <v>35431649.000000007</v>
      </c>
      <c r="D27" s="592">
        <f t="shared" si="1"/>
        <v>40934153.999999993</v>
      </c>
      <c r="E27" s="592">
        <f t="shared" si="1"/>
        <v>34575072</v>
      </c>
      <c r="F27" s="592">
        <f t="shared" si="1"/>
        <v>38155801</v>
      </c>
      <c r="G27" s="592">
        <f t="shared" si="1"/>
        <v>32272527</v>
      </c>
      <c r="H27" s="592">
        <f t="shared" si="1"/>
        <v>34566214.000000007</v>
      </c>
      <c r="I27" s="592">
        <f t="shared" si="1"/>
        <v>38666123.000000007</v>
      </c>
      <c r="J27" s="592">
        <f t="shared" si="1"/>
        <v>33252371</v>
      </c>
      <c r="K27" s="592">
        <f t="shared" si="1"/>
        <v>37088604</v>
      </c>
      <c r="L27" s="592">
        <f t="shared" si="1"/>
        <v>37002228</v>
      </c>
      <c r="M27" s="592">
        <f t="shared" si="1"/>
        <v>33241703</v>
      </c>
      <c r="N27" s="592">
        <f t="shared" si="1"/>
        <v>37287098.000000007</v>
      </c>
      <c r="O27" s="592">
        <f t="shared" si="0"/>
        <v>432473544</v>
      </c>
    </row>
    <row r="28" spans="1:16" x14ac:dyDescent="0.2">
      <c r="A28" s="565"/>
      <c r="B28" s="565"/>
      <c r="C28" s="565"/>
      <c r="D28" s="565"/>
      <c r="E28" s="565"/>
      <c r="F28" s="565"/>
      <c r="G28" s="565"/>
      <c r="H28" s="565"/>
      <c r="I28" s="565"/>
      <c r="J28" s="565"/>
      <c r="K28" s="565"/>
      <c r="L28" s="565"/>
      <c r="M28" s="565"/>
      <c r="N28" s="565"/>
      <c r="O28" s="565"/>
      <c r="P28" s="561"/>
    </row>
    <row r="29" spans="1:16" x14ac:dyDescent="0.2">
      <c r="A29" s="566"/>
      <c r="M29" s="561"/>
      <c r="O29" s="561"/>
    </row>
    <row r="31" spans="1:16" x14ac:dyDescent="0.2">
      <c r="M31" s="561"/>
    </row>
    <row r="32" spans="1:16" x14ac:dyDescent="0.2">
      <c r="O32" s="561"/>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32"/>
  <sheetViews>
    <sheetView workbookViewId="0">
      <selection activeCell="C32" sqref="C32"/>
    </sheetView>
  </sheetViews>
  <sheetFormatPr baseColWidth="10" defaultRowHeight="12.75" x14ac:dyDescent="0.2"/>
  <cols>
    <col min="1" max="1" width="16.42578125" style="552" bestFit="1" customWidth="1"/>
    <col min="2" max="2" width="12.28515625" style="552" bestFit="1" customWidth="1"/>
    <col min="3" max="3" width="13.85546875" style="552" bestFit="1" customWidth="1"/>
    <col min="4" max="4" width="17" style="552" bestFit="1" customWidth="1"/>
    <col min="5" max="5" width="14.5703125" style="552" customWidth="1"/>
    <col min="6" max="10" width="13.28515625" style="552" bestFit="1" customWidth="1"/>
    <col min="11" max="11" width="11.5703125" style="552" customWidth="1"/>
    <col min="12" max="12" width="11.7109375" style="552" bestFit="1" customWidth="1"/>
    <col min="13" max="14" width="13.28515625" style="552" bestFit="1" customWidth="1"/>
    <col min="15" max="15" width="15.28515625" style="552" bestFit="1" customWidth="1"/>
    <col min="16" max="19" width="11.42578125" style="552"/>
    <col min="20" max="20" width="11.7109375" style="552" bestFit="1" customWidth="1"/>
    <col min="21" max="16384" width="11.42578125" style="552"/>
  </cols>
  <sheetData>
    <row r="1" spans="1:18" ht="15.75" x14ac:dyDescent="0.25">
      <c r="A1" s="1213" t="s">
        <v>269</v>
      </c>
      <c r="B1" s="1213"/>
      <c r="C1" s="1213"/>
      <c r="D1" s="1213"/>
      <c r="E1" s="1213"/>
      <c r="F1" s="1213"/>
      <c r="G1" s="1213"/>
      <c r="H1" s="1213"/>
      <c r="I1" s="1213"/>
      <c r="J1" s="1213"/>
      <c r="K1" s="1213"/>
      <c r="L1" s="1213"/>
      <c r="M1" s="1213"/>
      <c r="N1" s="1213"/>
      <c r="O1" s="1213"/>
    </row>
    <row r="2" spans="1:18" x14ac:dyDescent="0.2">
      <c r="A2" s="1214" t="s">
        <v>270</v>
      </c>
      <c r="B2" s="1214"/>
      <c r="C2" s="1214"/>
      <c r="D2" s="1214"/>
      <c r="E2" s="1214"/>
      <c r="F2" s="1214"/>
      <c r="G2" s="1214"/>
      <c r="H2" s="1214"/>
      <c r="I2" s="1214"/>
      <c r="J2" s="1214"/>
      <c r="K2" s="1214"/>
      <c r="L2" s="1214"/>
      <c r="M2" s="1214"/>
      <c r="N2" s="1214"/>
      <c r="O2" s="1214"/>
    </row>
    <row r="3" spans="1:18" x14ac:dyDescent="0.2">
      <c r="A3" s="1214" t="s">
        <v>271</v>
      </c>
      <c r="B3" s="1214"/>
      <c r="C3" s="1214"/>
      <c r="D3" s="1214"/>
      <c r="E3" s="1214"/>
      <c r="F3" s="1214"/>
      <c r="G3" s="1214"/>
      <c r="H3" s="1214"/>
      <c r="I3" s="1214"/>
      <c r="J3" s="1214"/>
      <c r="K3" s="1214"/>
      <c r="L3" s="1214"/>
      <c r="M3" s="1214"/>
      <c r="N3" s="1214"/>
      <c r="O3" s="1214"/>
    </row>
    <row r="4" spans="1:18" x14ac:dyDescent="0.2">
      <c r="A4" s="1215" t="s">
        <v>321</v>
      </c>
      <c r="B4" s="1215"/>
      <c r="C4" s="1215"/>
      <c r="D4" s="1215"/>
      <c r="E4" s="1215"/>
      <c r="F4" s="1215"/>
      <c r="G4" s="1215"/>
      <c r="H4" s="1215"/>
      <c r="I4" s="1215"/>
      <c r="J4" s="1215"/>
      <c r="K4" s="1215"/>
      <c r="L4" s="1215"/>
      <c r="M4" s="1215"/>
      <c r="N4" s="1215"/>
      <c r="O4" s="1215"/>
    </row>
    <row r="5" spans="1:18" ht="13.5" thickBot="1" x14ac:dyDescent="0.25">
      <c r="A5" s="552" t="s">
        <v>309</v>
      </c>
    </row>
    <row r="6" spans="1:18" ht="23.25" thickBot="1" x14ac:dyDescent="0.25">
      <c r="A6" s="579" t="s">
        <v>310</v>
      </c>
      <c r="B6" s="580" t="s">
        <v>273</v>
      </c>
      <c r="C6" s="579" t="s">
        <v>1</v>
      </c>
      <c r="D6" s="581" t="s">
        <v>2</v>
      </c>
      <c r="E6" s="579" t="s">
        <v>3</v>
      </c>
      <c r="F6" s="581" t="s">
        <v>4</v>
      </c>
      <c r="G6" s="579" t="s">
        <v>5</v>
      </c>
      <c r="H6" s="579" t="s">
        <v>6</v>
      </c>
      <c r="I6" s="579" t="s">
        <v>7</v>
      </c>
      <c r="J6" s="581" t="s">
        <v>8</v>
      </c>
      <c r="K6" s="579" t="s">
        <v>9</v>
      </c>
      <c r="L6" s="581" t="s">
        <v>10</v>
      </c>
      <c r="M6" s="579" t="s">
        <v>11</v>
      </c>
      <c r="N6" s="579" t="s">
        <v>12</v>
      </c>
      <c r="O6" s="582" t="s">
        <v>165</v>
      </c>
    </row>
    <row r="7" spans="1:18" x14ac:dyDescent="0.2">
      <c r="A7" s="557" t="s">
        <v>274</v>
      </c>
      <c r="B7" s="558">
        <f>FGP!U8</f>
        <v>3.8084072470153756</v>
      </c>
      <c r="C7" s="584">
        <f>$C$32*B7/100</f>
        <v>2560111.3202297674</v>
      </c>
      <c r="D7" s="584">
        <f>$D$32*B7/100</f>
        <v>4449717.3558916142</v>
      </c>
      <c r="E7" s="584">
        <f>$E$32*B7/100</f>
        <v>2219935.711278847</v>
      </c>
      <c r="F7" s="584">
        <f>$F$32*B7/100</f>
        <v>3098199.9329071953</v>
      </c>
      <c r="G7" s="584">
        <f>$G$32*B7/100</f>
        <v>5003914.5543674594</v>
      </c>
      <c r="H7" s="584">
        <f>$H$32*B7/100</f>
        <v>4962163.3322834894</v>
      </c>
      <c r="I7" s="584">
        <f>$I$32*B7/100</f>
        <v>2597724.7411634172</v>
      </c>
      <c r="J7" s="584">
        <f>$J$32*B7/100</f>
        <v>3421404.8802347542</v>
      </c>
      <c r="K7" s="584">
        <f>$K$32*B7/100</f>
        <v>2718417.0447320137</v>
      </c>
      <c r="L7" s="584">
        <f>$L$32*B7/100</f>
        <v>267801.01656515943</v>
      </c>
      <c r="M7" s="584">
        <f>$M$32*B7/100</f>
        <v>2853533.3279978903</v>
      </c>
      <c r="N7" s="584">
        <f>$N$32*B7/100</f>
        <v>2545700.3224406885</v>
      </c>
      <c r="O7" s="587">
        <f>SUM(C7:N7)</f>
        <v>36698623.540092304</v>
      </c>
      <c r="R7" s="818"/>
    </row>
    <row r="8" spans="1:18" x14ac:dyDescent="0.2">
      <c r="A8" s="557" t="s">
        <v>144</v>
      </c>
      <c r="B8" s="558">
        <f>FGP!U9</f>
        <v>2.8691330261854757</v>
      </c>
      <c r="C8" s="584">
        <f t="shared" ref="C8:C26" si="0">$C$32*B8/100</f>
        <v>1928706.5335092484</v>
      </c>
      <c r="D8" s="584">
        <f t="shared" ref="D8:D26" si="1">$D$32*B8/100</f>
        <v>3352275.6876866631</v>
      </c>
      <c r="E8" s="584">
        <f t="shared" ref="E8:E26" si="2">$E$32*B8/100</f>
        <v>1672429.0371598934</v>
      </c>
      <c r="F8" s="584">
        <f t="shared" ref="F8:F26" si="3">$F$32*B8/100</f>
        <v>2334085.3991379277</v>
      </c>
      <c r="G8" s="584">
        <f t="shared" ref="G8:G26" si="4">$G$32*B8/100</f>
        <v>3769790.2500834865</v>
      </c>
      <c r="H8" s="584">
        <f t="shared" ref="H8:H26" si="5">$H$32*B8/100</f>
        <v>3738336.2058085203</v>
      </c>
      <c r="I8" s="584">
        <f t="shared" ref="I8:I26" si="6">$I$32*B8/100</f>
        <v>1957043.2898561771</v>
      </c>
      <c r="J8" s="584">
        <f t="shared" ref="J8:J26" si="7">$J$32*B8/100</f>
        <v>2577577.7381809144</v>
      </c>
      <c r="K8" s="584">
        <f t="shared" ref="K8:K26" si="8">$K$32*B8/100</f>
        <v>2047969.0369506986</v>
      </c>
      <c r="L8" s="584">
        <f t="shared" ref="L8:L26" si="9">$L$32*B8/100</f>
        <v>201752.77779846123</v>
      </c>
      <c r="M8" s="584">
        <f t="shared" ref="M8:M26" si="10">$M$32*B8/100</f>
        <v>2149761.3520969767</v>
      </c>
      <c r="N8" s="584">
        <f t="shared" ref="N8:N26" si="11">$N$32*B8/100</f>
        <v>1917849.7456146937</v>
      </c>
      <c r="O8" s="587">
        <f t="shared" ref="O8:O26" si="12">SUM(C8:N8)</f>
        <v>27647577.053883664</v>
      </c>
      <c r="R8" s="818"/>
    </row>
    <row r="9" spans="1:18" x14ac:dyDescent="0.2">
      <c r="A9" s="557" t="s">
        <v>145</v>
      </c>
      <c r="B9" s="558">
        <f>FGP!U10</f>
        <v>2.8805714770770665</v>
      </c>
      <c r="C9" s="584">
        <f t="shared" si="0"/>
        <v>1936395.7604521927</v>
      </c>
      <c r="D9" s="584">
        <f t="shared" si="1"/>
        <v>3365640.2966046603</v>
      </c>
      <c r="E9" s="584">
        <f t="shared" si="2"/>
        <v>1679096.5556181287</v>
      </c>
      <c r="F9" s="584">
        <f t="shared" si="3"/>
        <v>2343390.7610612516</v>
      </c>
      <c r="G9" s="584">
        <f t="shared" si="4"/>
        <v>3784819.3756951727</v>
      </c>
      <c r="H9" s="584">
        <f t="shared" si="5"/>
        <v>3753239.9327239804</v>
      </c>
      <c r="I9" s="584">
        <f t="shared" si="6"/>
        <v>1964845.4877185393</v>
      </c>
      <c r="J9" s="584">
        <f t="shared" si="7"/>
        <v>2587853.8376535969</v>
      </c>
      <c r="K9" s="584">
        <f t="shared" si="8"/>
        <v>2056133.7309690181</v>
      </c>
      <c r="L9" s="584">
        <f t="shared" si="9"/>
        <v>202557.11110055211</v>
      </c>
      <c r="M9" s="584">
        <f t="shared" si="10"/>
        <v>2158331.8643144923</v>
      </c>
      <c r="N9" s="584">
        <f t="shared" si="11"/>
        <v>1925495.6895052176</v>
      </c>
      <c r="O9" s="587">
        <f t="shared" si="12"/>
        <v>27757800.403416798</v>
      </c>
      <c r="R9" s="818"/>
    </row>
    <row r="10" spans="1:18" x14ac:dyDescent="0.2">
      <c r="A10" s="557" t="s">
        <v>275</v>
      </c>
      <c r="B10" s="558">
        <f>FGP!U11</f>
        <v>10.639066083702961</v>
      </c>
      <c r="C10" s="584">
        <f t="shared" si="0"/>
        <v>7151859.4916302981</v>
      </c>
      <c r="D10" s="584">
        <f t="shared" si="1"/>
        <v>12430613.096913833</v>
      </c>
      <c r="E10" s="584">
        <f t="shared" si="2"/>
        <v>6201553.8785609389</v>
      </c>
      <c r="F10" s="584">
        <f t="shared" si="3"/>
        <v>8655049.654302543</v>
      </c>
      <c r="G10" s="584">
        <f t="shared" si="4"/>
        <v>13978803.780199697</v>
      </c>
      <c r="H10" s="584">
        <f t="shared" si="5"/>
        <v>13862168.666879075</v>
      </c>
      <c r="I10" s="584">
        <f t="shared" si="6"/>
        <v>7256935.3527428005</v>
      </c>
      <c r="J10" s="584">
        <f t="shared" si="7"/>
        <v>9557946.4744607452</v>
      </c>
      <c r="K10" s="584">
        <f t="shared" si="8"/>
        <v>7594098.1901643872</v>
      </c>
      <c r="L10" s="584">
        <f t="shared" si="9"/>
        <v>748121.85980173876</v>
      </c>
      <c r="M10" s="584">
        <f t="shared" si="10"/>
        <v>7971555.4770069532</v>
      </c>
      <c r="N10" s="584">
        <f t="shared" si="11"/>
        <v>7111601.3081258265</v>
      </c>
      <c r="O10" s="587">
        <f t="shared" si="12"/>
        <v>102520307.23078884</v>
      </c>
      <c r="R10" s="818"/>
    </row>
    <row r="11" spans="1:18" x14ac:dyDescent="0.2">
      <c r="A11" s="557" t="s">
        <v>147</v>
      </c>
      <c r="B11" s="558">
        <f>FGP!U12</f>
        <v>5.6047496625614732</v>
      </c>
      <c r="C11" s="584">
        <f t="shared" si="0"/>
        <v>3767659.8450500919</v>
      </c>
      <c r="D11" s="584">
        <f t="shared" si="1"/>
        <v>6548551.7255205372</v>
      </c>
      <c r="E11" s="584">
        <f t="shared" si="2"/>
        <v>3267030.8403727417</v>
      </c>
      <c r="F11" s="584">
        <f t="shared" si="3"/>
        <v>4559553.0893178862</v>
      </c>
      <c r="G11" s="584">
        <f t="shared" si="4"/>
        <v>7364151.62324268</v>
      </c>
      <c r="H11" s="584">
        <f t="shared" si="5"/>
        <v>7302707.2627242375</v>
      </c>
      <c r="I11" s="584">
        <f t="shared" si="6"/>
        <v>3823014.6941017183</v>
      </c>
      <c r="J11" s="584">
        <f t="shared" si="7"/>
        <v>5035206.7424013326</v>
      </c>
      <c r="K11" s="584">
        <f t="shared" si="8"/>
        <v>4000634.9179446353</v>
      </c>
      <c r="L11" s="584">
        <f t="shared" si="9"/>
        <v>394116.89976262063</v>
      </c>
      <c r="M11" s="584">
        <f t="shared" si="10"/>
        <v>4199482.5972820977</v>
      </c>
      <c r="N11" s="584">
        <f t="shared" si="11"/>
        <v>3746451.4947459553</v>
      </c>
      <c r="O11" s="587">
        <f t="shared" si="12"/>
        <v>54008561.732466534</v>
      </c>
      <c r="R11" s="818"/>
    </row>
    <row r="12" spans="1:18" x14ac:dyDescent="0.2">
      <c r="A12" s="557" t="s">
        <v>276</v>
      </c>
      <c r="B12" s="558">
        <f>FGP!U13</f>
        <v>3.6620290349041662</v>
      </c>
      <c r="C12" s="584">
        <f t="shared" si="0"/>
        <v>2461712.0436937334</v>
      </c>
      <c r="D12" s="584">
        <f t="shared" si="1"/>
        <v>4278690.0395598104</v>
      </c>
      <c r="E12" s="584">
        <f t="shared" si="2"/>
        <v>2134611.2700249646</v>
      </c>
      <c r="F12" s="584">
        <f t="shared" si="3"/>
        <v>2979118.9267208334</v>
      </c>
      <c r="G12" s="584">
        <f t="shared" si="4"/>
        <v>4811586.3660941087</v>
      </c>
      <c r="H12" s="584">
        <f t="shared" si="5"/>
        <v>4771439.8750290964</v>
      </c>
      <c r="I12" s="584">
        <f t="shared" si="6"/>
        <v>2497879.7722550752</v>
      </c>
      <c r="J12" s="584">
        <f t="shared" si="7"/>
        <v>3289901.315412526</v>
      </c>
      <c r="K12" s="584">
        <f t="shared" si="8"/>
        <v>2613933.2012322526</v>
      </c>
      <c r="L12" s="584">
        <f t="shared" si="9"/>
        <v>257507.93826133743</v>
      </c>
      <c r="M12" s="584">
        <f t="shared" si="10"/>
        <v>2743856.2163708638</v>
      </c>
      <c r="N12" s="584">
        <f t="shared" si="11"/>
        <v>2447854.9404737707</v>
      </c>
      <c r="O12" s="587">
        <f t="shared" si="12"/>
        <v>35288091.905128375</v>
      </c>
      <c r="R12" s="818"/>
    </row>
    <row r="13" spans="1:18" x14ac:dyDescent="0.2">
      <c r="A13" s="557" t="s">
        <v>149</v>
      </c>
      <c r="B13" s="558">
        <f>FGP!U14</f>
        <v>3.0697485567960188</v>
      </c>
      <c r="C13" s="584">
        <f t="shared" si="0"/>
        <v>2063565.5592430264</v>
      </c>
      <c r="D13" s="584">
        <f t="shared" si="1"/>
        <v>3586673.5213528834</v>
      </c>
      <c r="E13" s="584">
        <f t="shared" si="2"/>
        <v>1789368.6267976665</v>
      </c>
      <c r="F13" s="584">
        <f t="shared" si="3"/>
        <v>2497289.3274900825</v>
      </c>
      <c r="G13" s="584">
        <f t="shared" si="4"/>
        <v>4033381.5386046832</v>
      </c>
      <c r="H13" s="584">
        <f t="shared" si="5"/>
        <v>3999728.1645236467</v>
      </c>
      <c r="I13" s="584">
        <f t="shared" si="6"/>
        <v>2093883.6783774025</v>
      </c>
      <c r="J13" s="584">
        <f t="shared" si="7"/>
        <v>2757807.1388101969</v>
      </c>
      <c r="K13" s="584">
        <f t="shared" si="8"/>
        <v>2191167.1359137362</v>
      </c>
      <c r="L13" s="584">
        <f t="shared" si="9"/>
        <v>215859.73631198847</v>
      </c>
      <c r="M13" s="584">
        <f t="shared" si="10"/>
        <v>2300076.9737153845</v>
      </c>
      <c r="N13" s="584">
        <f t="shared" si="11"/>
        <v>2051949.6429831034</v>
      </c>
      <c r="O13" s="587">
        <f t="shared" si="12"/>
        <v>29580751.044123799</v>
      </c>
      <c r="R13" s="818"/>
    </row>
    <row r="14" spans="1:18" x14ac:dyDescent="0.2">
      <c r="A14" s="557" t="s">
        <v>150</v>
      </c>
      <c r="B14" s="558">
        <f>FGP!U15</f>
        <v>3.4287748252403007</v>
      </c>
      <c r="C14" s="584">
        <f t="shared" si="0"/>
        <v>2304912.4411513065</v>
      </c>
      <c r="D14" s="584">
        <f t="shared" si="1"/>
        <v>4006157.3932968634</v>
      </c>
      <c r="E14" s="584">
        <f t="shared" si="2"/>
        <v>1998646.4647261768</v>
      </c>
      <c r="F14" s="584">
        <f t="shared" si="3"/>
        <v>2789362.9132857528</v>
      </c>
      <c r="G14" s="584">
        <f t="shared" si="4"/>
        <v>4505110.703461335</v>
      </c>
      <c r="H14" s="584">
        <f t="shared" si="5"/>
        <v>4467521.3570707338</v>
      </c>
      <c r="I14" s="584">
        <f t="shared" si="6"/>
        <v>2338776.4536960619</v>
      </c>
      <c r="J14" s="584">
        <f t="shared" si="7"/>
        <v>3080349.9099254473</v>
      </c>
      <c r="K14" s="584">
        <f t="shared" si="8"/>
        <v>2447437.8192578927</v>
      </c>
      <c r="L14" s="584">
        <f t="shared" si="9"/>
        <v>241105.88080935669</v>
      </c>
      <c r="M14" s="584">
        <f t="shared" si="10"/>
        <v>2569085.3428795184</v>
      </c>
      <c r="N14" s="584">
        <f t="shared" si="11"/>
        <v>2291937.9709276948</v>
      </c>
      <c r="O14" s="587">
        <f t="shared" si="12"/>
        <v>33040404.650488138</v>
      </c>
      <c r="R14" s="818"/>
    </row>
    <row r="15" spans="1:18" x14ac:dyDescent="0.2">
      <c r="A15" s="557" t="s">
        <v>151</v>
      </c>
      <c r="B15" s="558">
        <f>FGP!U16</f>
        <v>2.8577348059446361</v>
      </c>
      <c r="C15" s="584">
        <f t="shared" si="0"/>
        <v>1921044.350665774</v>
      </c>
      <c r="D15" s="584">
        <f t="shared" si="1"/>
        <v>3338958.0839898195</v>
      </c>
      <c r="E15" s="584">
        <f t="shared" si="2"/>
        <v>1665784.9693077772</v>
      </c>
      <c r="F15" s="584">
        <f t="shared" si="3"/>
        <v>2324812.7654895419</v>
      </c>
      <c r="G15" s="584">
        <f t="shared" si="4"/>
        <v>3754813.9840337564</v>
      </c>
      <c r="H15" s="584">
        <f t="shared" si="5"/>
        <v>3723484.8974100524</v>
      </c>
      <c r="I15" s="584">
        <f t="shared" si="6"/>
        <v>1949268.5334279973</v>
      </c>
      <c r="J15" s="584">
        <f t="shared" si="7"/>
        <v>2567337.7812045272</v>
      </c>
      <c r="K15" s="584">
        <f t="shared" si="8"/>
        <v>2039833.0593168491</v>
      </c>
      <c r="L15" s="584">
        <f t="shared" si="9"/>
        <v>200951.27345043686</v>
      </c>
      <c r="M15" s="584">
        <f t="shared" si="10"/>
        <v>2141220.9835839751</v>
      </c>
      <c r="N15" s="584">
        <f t="shared" si="11"/>
        <v>1910230.6935910177</v>
      </c>
      <c r="O15" s="587">
        <f t="shared" si="12"/>
        <v>27537741.375471525</v>
      </c>
      <c r="R15" s="818"/>
    </row>
    <row r="16" spans="1:18" x14ac:dyDescent="0.2">
      <c r="A16" s="557" t="s">
        <v>152</v>
      </c>
      <c r="B16" s="558">
        <f>FGP!U17</f>
        <v>3.0578406083142733</v>
      </c>
      <c r="C16" s="584">
        <f t="shared" si="0"/>
        <v>2055560.7236959033</v>
      </c>
      <c r="D16" s="584">
        <f t="shared" si="1"/>
        <v>3572760.3546153158</v>
      </c>
      <c r="E16" s="584">
        <f t="shared" si="2"/>
        <v>1782427.4363292858</v>
      </c>
      <c r="F16" s="584">
        <f t="shared" si="3"/>
        <v>2487602.021801827</v>
      </c>
      <c r="G16" s="584">
        <f t="shared" si="4"/>
        <v>4017735.5341582941</v>
      </c>
      <c r="H16" s="584">
        <f t="shared" si="5"/>
        <v>3984212.7058328395</v>
      </c>
      <c r="I16" s="584">
        <f t="shared" si="6"/>
        <v>2085761.2349565283</v>
      </c>
      <c r="J16" s="584">
        <f t="shared" si="7"/>
        <v>2747109.2511089914</v>
      </c>
      <c r="K16" s="584">
        <f t="shared" si="8"/>
        <v>2182667.317480207</v>
      </c>
      <c r="L16" s="584">
        <f t="shared" si="9"/>
        <v>215022.38870135247</v>
      </c>
      <c r="M16" s="584">
        <f t="shared" si="10"/>
        <v>2291154.6800485575</v>
      </c>
      <c r="N16" s="584">
        <f t="shared" si="11"/>
        <v>2043989.8670654034</v>
      </c>
      <c r="O16" s="587">
        <f t="shared" si="12"/>
        <v>29466003.515794508</v>
      </c>
      <c r="R16" s="818"/>
    </row>
    <row r="17" spans="1:20" x14ac:dyDescent="0.2">
      <c r="A17" s="557" t="s">
        <v>153</v>
      </c>
      <c r="B17" s="558">
        <f>FGP!U18</f>
        <v>3.5047212504004186</v>
      </c>
      <c r="C17" s="584">
        <f t="shared" si="0"/>
        <v>2355965.6216996252</v>
      </c>
      <c r="D17" s="584">
        <f t="shared" si="1"/>
        <v>4094892.6845180797</v>
      </c>
      <c r="E17" s="584">
        <f t="shared" si="2"/>
        <v>2042915.9376112102</v>
      </c>
      <c r="F17" s="584">
        <f t="shared" si="3"/>
        <v>2851146.5393724893</v>
      </c>
      <c r="G17" s="584">
        <f t="shared" si="4"/>
        <v>4604897.6741191391</v>
      </c>
      <c r="H17" s="584">
        <f t="shared" si="5"/>
        <v>4566475.7339806324</v>
      </c>
      <c r="I17" s="584">
        <f t="shared" si="6"/>
        <v>2390579.7128658802</v>
      </c>
      <c r="J17" s="584">
        <f t="shared" si="7"/>
        <v>3148578.8184495675</v>
      </c>
      <c r="K17" s="584">
        <f t="shared" si="8"/>
        <v>2501647.897973483</v>
      </c>
      <c r="L17" s="584">
        <f t="shared" si="9"/>
        <v>246446.31016556814</v>
      </c>
      <c r="M17" s="584">
        <f t="shared" si="10"/>
        <v>2625989.8809922771</v>
      </c>
      <c r="N17" s="584">
        <f t="shared" si="11"/>
        <v>2342703.7705069934</v>
      </c>
      <c r="O17" s="587">
        <f t="shared" si="12"/>
        <v>33772240.582254946</v>
      </c>
      <c r="R17" s="818"/>
    </row>
    <row r="18" spans="1:20" x14ac:dyDescent="0.2">
      <c r="A18" s="557" t="s">
        <v>154</v>
      </c>
      <c r="B18" s="558">
        <f>FGP!U19</f>
        <v>2.9571648841167448</v>
      </c>
      <c r="C18" s="584">
        <f t="shared" si="0"/>
        <v>1987883.8592029025</v>
      </c>
      <c r="D18" s="584">
        <f t="shared" si="1"/>
        <v>3455131.5170928114</v>
      </c>
      <c r="E18" s="584">
        <f t="shared" si="2"/>
        <v>1723743.15681057</v>
      </c>
      <c r="F18" s="584">
        <f t="shared" si="3"/>
        <v>2405700.7172082569</v>
      </c>
      <c r="G18" s="584">
        <f t="shared" si="4"/>
        <v>3885456.4240451884</v>
      </c>
      <c r="H18" s="584">
        <f t="shared" si="5"/>
        <v>3853037.2945226203</v>
      </c>
      <c r="I18" s="584">
        <f t="shared" si="6"/>
        <v>2017090.0549540687</v>
      </c>
      <c r="J18" s="584">
        <f t="shared" si="7"/>
        <v>2656663.9831139427</v>
      </c>
      <c r="K18" s="584">
        <f t="shared" si="8"/>
        <v>2110805.6212648717</v>
      </c>
      <c r="L18" s="584">
        <f t="shared" si="9"/>
        <v>207943.03517248266</v>
      </c>
      <c r="M18" s="584">
        <f t="shared" si="10"/>
        <v>2215721.1679043109</v>
      </c>
      <c r="N18" s="584">
        <f t="shared" si="11"/>
        <v>1976693.959110063</v>
      </c>
      <c r="O18" s="587">
        <f t="shared" si="12"/>
        <v>28495870.790402088</v>
      </c>
      <c r="R18" s="818"/>
    </row>
    <row r="19" spans="1:20" x14ac:dyDescent="0.2">
      <c r="A19" s="557" t="s">
        <v>155</v>
      </c>
      <c r="B19" s="558">
        <f>FGP!U20</f>
        <v>4.2498259986183484</v>
      </c>
      <c r="C19" s="584">
        <f t="shared" si="0"/>
        <v>2856844.5920788064</v>
      </c>
      <c r="D19" s="584">
        <f t="shared" si="1"/>
        <v>4965468.0497710779</v>
      </c>
      <c r="E19" s="584">
        <f t="shared" si="2"/>
        <v>2477240.4549035011</v>
      </c>
      <c r="F19" s="584">
        <f t="shared" si="3"/>
        <v>3457301.1156055764</v>
      </c>
      <c r="G19" s="584">
        <f t="shared" si="4"/>
        <v>5583900.2471916368</v>
      </c>
      <c r="H19" s="584">
        <f t="shared" si="5"/>
        <v>5537309.7915029489</v>
      </c>
      <c r="I19" s="584">
        <f t="shared" si="6"/>
        <v>2898817.64900597</v>
      </c>
      <c r="J19" s="584">
        <f t="shared" si="7"/>
        <v>3817967.5829617623</v>
      </c>
      <c r="K19" s="584">
        <f t="shared" si="8"/>
        <v>3033498.9622875089</v>
      </c>
      <c r="L19" s="584">
        <f t="shared" si="9"/>
        <v>298840.86675524665</v>
      </c>
      <c r="M19" s="584">
        <f t="shared" si="10"/>
        <v>3184276.0867428868</v>
      </c>
      <c r="N19" s="584">
        <f t="shared" si="11"/>
        <v>2840763.2674993365</v>
      </c>
      <c r="O19" s="587">
        <f t="shared" si="12"/>
        <v>40952228.66630625</v>
      </c>
      <c r="R19" s="818"/>
    </row>
    <row r="20" spans="1:20" x14ac:dyDescent="0.2">
      <c r="A20" s="557" t="s">
        <v>277</v>
      </c>
      <c r="B20" s="558">
        <f>FGP!U21</f>
        <v>2.5967637526947485</v>
      </c>
      <c r="C20" s="584">
        <f t="shared" si="0"/>
        <v>1745612.7583115371</v>
      </c>
      <c r="D20" s="584">
        <f t="shared" si="1"/>
        <v>3034041.2645132774</v>
      </c>
      <c r="E20" s="584">
        <f t="shared" si="2"/>
        <v>1513663.9057913944</v>
      </c>
      <c r="F20" s="584">
        <f t="shared" si="3"/>
        <v>2112508.6584896483</v>
      </c>
      <c r="G20" s="584">
        <f t="shared" si="4"/>
        <v>3411920.8092953861</v>
      </c>
      <c r="H20" s="584">
        <f t="shared" si="5"/>
        <v>3383452.7245800947</v>
      </c>
      <c r="I20" s="584">
        <f t="shared" si="6"/>
        <v>1771259.4819312072</v>
      </c>
      <c r="J20" s="584">
        <f t="shared" si="7"/>
        <v>2332886.0597167793</v>
      </c>
      <c r="K20" s="584">
        <f t="shared" si="8"/>
        <v>1853553.5694087949</v>
      </c>
      <c r="L20" s="584">
        <f t="shared" si="9"/>
        <v>182600.21254192415</v>
      </c>
      <c r="M20" s="584">
        <f t="shared" si="10"/>
        <v>1945682.6522579661</v>
      </c>
      <c r="N20" s="584">
        <f t="shared" si="11"/>
        <v>1735786.6146583941</v>
      </c>
      <c r="O20" s="587">
        <f t="shared" si="12"/>
        <v>25022968.711496402</v>
      </c>
      <c r="R20" s="818"/>
    </row>
    <row r="21" spans="1:20" x14ac:dyDescent="0.2">
      <c r="A21" s="557" t="s">
        <v>278</v>
      </c>
      <c r="B21" s="558">
        <f>FGP!U22</f>
        <v>3.2386593121117824</v>
      </c>
      <c r="C21" s="584">
        <f t="shared" si="0"/>
        <v>2177111.8027891545</v>
      </c>
      <c r="D21" s="584">
        <f t="shared" si="1"/>
        <v>3784027.7092786478</v>
      </c>
      <c r="E21" s="584">
        <f t="shared" si="2"/>
        <v>1887827.3769847453</v>
      </c>
      <c r="F21" s="584">
        <f t="shared" si="3"/>
        <v>2634700.9163365024</v>
      </c>
      <c r="G21" s="584">
        <f t="shared" si="4"/>
        <v>4255315.5210001161</v>
      </c>
      <c r="H21" s="584">
        <f t="shared" si="5"/>
        <v>4219810.3936794326</v>
      </c>
      <c r="I21" s="584">
        <f t="shared" si="6"/>
        <v>2209098.1551054968</v>
      </c>
      <c r="J21" s="584">
        <f t="shared" si="7"/>
        <v>2909553.5369965774</v>
      </c>
      <c r="K21" s="584">
        <f t="shared" si="8"/>
        <v>2311734.5664711641</v>
      </c>
      <c r="L21" s="584">
        <f t="shared" si="9"/>
        <v>227737.26648363707</v>
      </c>
      <c r="M21" s="584">
        <f t="shared" si="10"/>
        <v>2426637.091499154</v>
      </c>
      <c r="N21" s="584">
        <f t="shared" si="11"/>
        <v>2164856.7289067595</v>
      </c>
      <c r="O21" s="587">
        <f t="shared" si="12"/>
        <v>31208411.065531388</v>
      </c>
      <c r="R21" s="818"/>
    </row>
    <row r="22" spans="1:20" x14ac:dyDescent="0.2">
      <c r="A22" s="557" t="s">
        <v>279</v>
      </c>
      <c r="B22" s="558">
        <f>FGP!U23</f>
        <v>6.5756833314824163</v>
      </c>
      <c r="C22" s="584">
        <f t="shared" si="0"/>
        <v>4420346.9438220924</v>
      </c>
      <c r="D22" s="584">
        <f t="shared" si="1"/>
        <v>7682984.0794666372</v>
      </c>
      <c r="E22" s="584">
        <f t="shared" si="2"/>
        <v>3832991.9325352926</v>
      </c>
      <c r="F22" s="584">
        <f t="shared" si="3"/>
        <v>5349423.0881909495</v>
      </c>
      <c r="G22" s="584">
        <f t="shared" si="4"/>
        <v>8639873.6776648946</v>
      </c>
      <c r="H22" s="584">
        <f t="shared" si="5"/>
        <v>8567785.0596890338</v>
      </c>
      <c r="I22" s="584">
        <f t="shared" si="6"/>
        <v>4485291.139395522</v>
      </c>
      <c r="J22" s="584">
        <f t="shared" si="7"/>
        <v>5907476.1657498321</v>
      </c>
      <c r="K22" s="584">
        <f t="shared" si="8"/>
        <v>4693681.2398597524</v>
      </c>
      <c r="L22" s="584">
        <f t="shared" si="9"/>
        <v>462391.3795357967</v>
      </c>
      <c r="M22" s="584">
        <f t="shared" si="10"/>
        <v>4926976.1146081332</v>
      </c>
      <c r="N22" s="584">
        <f t="shared" si="11"/>
        <v>4395464.5843984941</v>
      </c>
      <c r="O22" s="587">
        <f t="shared" si="12"/>
        <v>63364685.404916421</v>
      </c>
      <c r="R22" s="818"/>
    </row>
    <row r="23" spans="1:20" x14ac:dyDescent="0.2">
      <c r="A23" s="557" t="s">
        <v>159</v>
      </c>
      <c r="B23" s="558">
        <f>FGP!U24</f>
        <v>4.4717731363038817</v>
      </c>
      <c r="C23" s="584">
        <f t="shared" si="0"/>
        <v>3006043.2840324123</v>
      </c>
      <c r="D23" s="584">
        <f t="shared" si="1"/>
        <v>5224789.589352686</v>
      </c>
      <c r="E23" s="584">
        <f t="shared" si="2"/>
        <v>2606614.3230344295</v>
      </c>
      <c r="F23" s="584">
        <f t="shared" si="3"/>
        <v>3637858.6459550839</v>
      </c>
      <c r="G23" s="584">
        <f t="shared" si="4"/>
        <v>5875519.4046321157</v>
      </c>
      <c r="H23" s="584">
        <f t="shared" si="5"/>
        <v>5826495.7626701714</v>
      </c>
      <c r="I23" s="584">
        <f t="shared" si="6"/>
        <v>3050208.3836097755</v>
      </c>
      <c r="J23" s="584">
        <f t="shared" si="7"/>
        <v>4017360.9174394589</v>
      </c>
      <c r="K23" s="584">
        <f t="shared" si="8"/>
        <v>3191923.4276822414</v>
      </c>
      <c r="L23" s="584">
        <f t="shared" si="9"/>
        <v>314447.82925708889</v>
      </c>
      <c r="M23" s="584">
        <f t="shared" si="10"/>
        <v>3350574.8865720667</v>
      </c>
      <c r="N23" s="584">
        <f t="shared" si="11"/>
        <v>2989122.1123717292</v>
      </c>
      <c r="O23" s="587">
        <f t="shared" si="12"/>
        <v>43090958.566609263</v>
      </c>
      <c r="R23" s="818"/>
    </row>
    <row r="24" spans="1:20" x14ac:dyDescent="0.2">
      <c r="A24" s="557" t="s">
        <v>160</v>
      </c>
      <c r="B24" s="558">
        <f>FGP!U25</f>
        <v>22.5211599449758</v>
      </c>
      <c r="C24" s="584">
        <f t="shared" si="0"/>
        <v>15139314.884200716</v>
      </c>
      <c r="D24" s="584">
        <f t="shared" si="1"/>
        <v>26313571.470200822</v>
      </c>
      <c r="E24" s="584">
        <f t="shared" si="2"/>
        <v>13127673.585973691</v>
      </c>
      <c r="F24" s="584">
        <f t="shared" si="3"/>
        <v>18321322.19714646</v>
      </c>
      <c r="G24" s="584">
        <f t="shared" si="4"/>
        <v>29590837.513036296</v>
      </c>
      <c r="H24" s="584">
        <f t="shared" si="5"/>
        <v>29343940.085985079</v>
      </c>
      <c r="I24" s="584">
        <f t="shared" si="6"/>
        <v>15361743.268031854</v>
      </c>
      <c r="J24" s="584">
        <f t="shared" si="7"/>
        <v>20232606.847567156</v>
      </c>
      <c r="K24" s="584">
        <f t="shared" si="8"/>
        <v>16075461.758859253</v>
      </c>
      <c r="L24" s="584">
        <f t="shared" si="9"/>
        <v>1583651.4154881081</v>
      </c>
      <c r="M24" s="584">
        <f t="shared" si="10"/>
        <v>16874476.997837756</v>
      </c>
      <c r="N24" s="584">
        <f t="shared" si="11"/>
        <v>15054094.905053558</v>
      </c>
      <c r="O24" s="587">
        <f t="shared" si="12"/>
        <v>217018694.92938074</v>
      </c>
      <c r="R24" s="818"/>
      <c r="T24" s="561"/>
    </row>
    <row r="25" spans="1:20" x14ac:dyDescent="0.2">
      <c r="A25" s="557" t="s">
        <v>161</v>
      </c>
      <c r="B25" s="558">
        <f>FGP!U26</f>
        <v>3.17466433183007</v>
      </c>
      <c r="C25" s="584">
        <f t="shared" si="0"/>
        <v>2134092.6972075524</v>
      </c>
      <c r="D25" s="584">
        <f t="shared" si="1"/>
        <v>3709256.4056916581</v>
      </c>
      <c r="E25" s="584">
        <f t="shared" si="2"/>
        <v>1850524.4487904734</v>
      </c>
      <c r="F25" s="584">
        <f t="shared" si="3"/>
        <v>2582639.9809492533</v>
      </c>
      <c r="G25" s="584">
        <f t="shared" si="4"/>
        <v>4171231.7052556006</v>
      </c>
      <c r="H25" s="584">
        <f t="shared" si="5"/>
        <v>4136428.149080202</v>
      </c>
      <c r="I25" s="584">
        <f t="shared" si="6"/>
        <v>2165447.0083647296</v>
      </c>
      <c r="J25" s="584">
        <f t="shared" si="7"/>
        <v>2852061.5925576077</v>
      </c>
      <c r="K25" s="584">
        <f t="shared" si="8"/>
        <v>2266055.3536423803</v>
      </c>
      <c r="L25" s="584">
        <f t="shared" si="9"/>
        <v>223237.24333408006</v>
      </c>
      <c r="M25" s="584">
        <f t="shared" si="10"/>
        <v>2378687.4376900597</v>
      </c>
      <c r="N25" s="584">
        <f t="shared" si="11"/>
        <v>2122079.7800745638</v>
      </c>
      <c r="O25" s="587">
        <f t="shared" si="12"/>
        <v>30591741.802638166</v>
      </c>
      <c r="R25" s="818"/>
      <c r="T25" s="561"/>
    </row>
    <row r="26" spans="1:20" ht="13.5" thickBot="1" x14ac:dyDescent="0.25">
      <c r="A26" s="557" t="s">
        <v>162</v>
      </c>
      <c r="B26" s="558">
        <f>FGP!U27</f>
        <v>4.8315287297240372</v>
      </c>
      <c r="C26" s="584">
        <f t="shared" si="0"/>
        <v>3247880.4373338902</v>
      </c>
      <c r="D26" s="584">
        <f t="shared" si="1"/>
        <v>5645125.5996822799</v>
      </c>
      <c r="E26" s="584">
        <f t="shared" si="2"/>
        <v>2816317.2873882549</v>
      </c>
      <c r="F26" s="584">
        <f t="shared" si="3"/>
        <v>3930525.5492309392</v>
      </c>
      <c r="G26" s="584">
        <f t="shared" si="4"/>
        <v>6348206.8388189431</v>
      </c>
      <c r="H26" s="584">
        <f t="shared" si="5"/>
        <v>6295239.2290240936</v>
      </c>
      <c r="I26" s="584">
        <f t="shared" si="6"/>
        <v>3295598.63343977</v>
      </c>
      <c r="J26" s="584">
        <f t="shared" si="7"/>
        <v>4340558.9010542873</v>
      </c>
      <c r="K26" s="584">
        <f t="shared" si="8"/>
        <v>3448714.6985888542</v>
      </c>
      <c r="L26" s="584">
        <f t="shared" si="9"/>
        <v>339745.25870306609</v>
      </c>
      <c r="M26" s="584">
        <f t="shared" si="10"/>
        <v>3620129.718598655</v>
      </c>
      <c r="N26" s="584">
        <f t="shared" si="11"/>
        <v>3229597.9519467275</v>
      </c>
      <c r="O26" s="587">
        <f t="shared" si="12"/>
        <v>46557640.103809766</v>
      </c>
      <c r="R26" s="818"/>
      <c r="T26" s="561"/>
    </row>
    <row r="27" spans="1:20" ht="13.5" thickBot="1" x14ac:dyDescent="0.25">
      <c r="A27" s="562" t="s">
        <v>280</v>
      </c>
      <c r="B27" s="601">
        <f>SUM(B7:B26)</f>
        <v>100</v>
      </c>
      <c r="C27" s="592">
        <f>SUM(C7:C26)</f>
        <v>67222624.950000033</v>
      </c>
      <c r="D27" s="592">
        <f t="shared" ref="D27:N27" si="13">SUM(D7:D26)</f>
        <v>116839325.92499997</v>
      </c>
      <c r="E27" s="592">
        <f t="shared" si="13"/>
        <v>58290397.199999981</v>
      </c>
      <c r="F27" s="592">
        <f t="shared" si="13"/>
        <v>81351592.200000003</v>
      </c>
      <c r="G27" s="592">
        <f t="shared" si="13"/>
        <v>131391267.52499999</v>
      </c>
      <c r="H27" s="592">
        <f t="shared" si="13"/>
        <v>130294976.62499999</v>
      </c>
      <c r="I27" s="592">
        <f t="shared" si="13"/>
        <v>68210266.724999994</v>
      </c>
      <c r="J27" s="592">
        <f t="shared" si="13"/>
        <v>89838209.475000009</v>
      </c>
      <c r="K27" s="592">
        <f t="shared" si="13"/>
        <v>71379368.549999997</v>
      </c>
      <c r="L27" s="592">
        <f t="shared" si="13"/>
        <v>7031837.700000003</v>
      </c>
      <c r="M27" s="592">
        <f t="shared" si="13"/>
        <v>74927210.849999964</v>
      </c>
      <c r="N27" s="592">
        <f t="shared" si="13"/>
        <v>66844225.349999994</v>
      </c>
      <c r="O27" s="592">
        <f>SUM(C27:N27)</f>
        <v>963621303.07499993</v>
      </c>
      <c r="T27" s="561"/>
    </row>
    <row r="28" spans="1:20" x14ac:dyDescent="0.2">
      <c r="A28" s="565"/>
      <c r="B28" s="565"/>
      <c r="C28" s="565"/>
      <c r="D28" s="565"/>
      <c r="E28" s="565"/>
      <c r="F28" s="565"/>
      <c r="G28" s="565"/>
      <c r="H28" s="565"/>
      <c r="I28" s="565"/>
      <c r="J28" s="565"/>
      <c r="K28" s="565"/>
      <c r="L28" s="565"/>
      <c r="M28" s="565"/>
      <c r="N28" s="565"/>
      <c r="O28" s="565"/>
      <c r="T28" s="561"/>
    </row>
    <row r="29" spans="1:20" ht="13.5" thickBot="1" x14ac:dyDescent="0.25">
      <c r="A29" s="566" t="s">
        <v>281</v>
      </c>
    </row>
    <row r="30" spans="1:20" ht="13.5" thickBot="1" x14ac:dyDescent="0.25">
      <c r="A30" s="602" t="s">
        <v>322</v>
      </c>
      <c r="B30" s="603"/>
      <c r="C30" s="592">
        <f>'X22.55 POE'!B13</f>
        <v>146742608.92500004</v>
      </c>
      <c r="D30" s="592">
        <f>'X22.55 POE'!C13</f>
        <v>210245430.15000001</v>
      </c>
      <c r="E30" s="592">
        <f>'X22.55 POE'!D13</f>
        <v>135901754.09999999</v>
      </c>
      <c r="F30" s="592">
        <f>'X22.55 POE'!E13</f>
        <v>166941535.27500001</v>
      </c>
      <c r="G30" s="592">
        <f>'X22.55 POE'!F13</f>
        <v>203872091.84999999</v>
      </c>
      <c r="H30" s="592">
        <f>'X22.55 POE'!G13</f>
        <v>199866603.59999999</v>
      </c>
      <c r="I30" s="592">
        <f>'X22.55 POE'!H13</f>
        <v>154937309.625</v>
      </c>
      <c r="J30" s="592">
        <f>'X22.55 POE'!I13</f>
        <v>164502322.42500001</v>
      </c>
      <c r="K30" s="592">
        <f>'X22.55 POE'!J13</f>
        <v>154591381.125</v>
      </c>
      <c r="L30" s="592">
        <f>'X22.55 POE'!K13</f>
        <v>102482205.075</v>
      </c>
      <c r="M30" s="592">
        <f>'X22.55 POE'!L13</f>
        <v>149567554.79999998</v>
      </c>
      <c r="N30" s="592">
        <f>'X22.55 POE'!M13</f>
        <v>150498522.22499999</v>
      </c>
      <c r="O30" s="604">
        <f>SUM(C30:N30)</f>
        <v>1940149319.175</v>
      </c>
    </row>
    <row r="31" spans="1:20" x14ac:dyDescent="0.2">
      <c r="A31" s="605" t="s">
        <v>323</v>
      </c>
      <c r="B31" s="606"/>
      <c r="C31" s="607">
        <f>'F.G.P. ESTIMACIONES 2014'!C27</f>
        <v>79519983.975000009</v>
      </c>
      <c r="D31" s="607">
        <f>'F.G.P. ESTIMACIONES 2014'!D27</f>
        <v>93406104.225000024</v>
      </c>
      <c r="E31" s="607">
        <f>'F.G.P. ESTIMACIONES 2014'!E27</f>
        <v>77611356.900000006</v>
      </c>
      <c r="F31" s="607">
        <f>'F.G.P. ESTIMACIONES 2014'!F27</f>
        <v>85589943.075000003</v>
      </c>
      <c r="G31" s="607">
        <f>'F.G.P. ESTIMACIONES 2014'!G27</f>
        <v>72480824.325000003</v>
      </c>
      <c r="H31" s="607">
        <f>'F.G.P. ESTIMACIONES 2014'!H27</f>
        <v>69571626.975000009</v>
      </c>
      <c r="I31" s="607">
        <f>'F.G.P. ESTIMACIONES 2014'!I27</f>
        <v>86727042.900000006</v>
      </c>
      <c r="J31" s="607">
        <f>'F.G.P. ESTIMACIONES 2014'!J27</f>
        <v>74664112.950000003</v>
      </c>
      <c r="K31" s="607">
        <f>'F.G.P. ESTIMACIONES 2014'!K27</f>
        <v>83212012.575000003</v>
      </c>
      <c r="L31" s="607">
        <f>'F.G.P. ESTIMACIONES 2014'!L27</f>
        <v>95450367.375</v>
      </c>
      <c r="M31" s="607">
        <f>'F.G.P. ESTIMACIONES 2014'!M27</f>
        <v>74640343.950000003</v>
      </c>
      <c r="N31" s="607">
        <f>'F.G.P. ESTIMACIONES 2014'!N27</f>
        <v>83654296.875</v>
      </c>
      <c r="O31" s="608">
        <f>SUM(C31:N31)</f>
        <v>976528016.10000026</v>
      </c>
    </row>
    <row r="32" spans="1:20" ht="13.5" thickBot="1" x14ac:dyDescent="0.25">
      <c r="A32" s="609" t="s">
        <v>309</v>
      </c>
      <c r="B32" s="610"/>
      <c r="C32" s="611">
        <f>C30-C31</f>
        <v>67222624.950000033</v>
      </c>
      <c r="D32" s="611">
        <f t="shared" ref="D32:N32" si="14">D30-D31</f>
        <v>116839325.92499998</v>
      </c>
      <c r="E32" s="611">
        <f t="shared" si="14"/>
        <v>58290397.199999988</v>
      </c>
      <c r="F32" s="611">
        <f t="shared" si="14"/>
        <v>81351592.200000003</v>
      </c>
      <c r="G32" s="611">
        <f t="shared" si="14"/>
        <v>131391267.52499999</v>
      </c>
      <c r="H32" s="611">
        <f t="shared" si="14"/>
        <v>130294976.62499999</v>
      </c>
      <c r="I32" s="611">
        <f t="shared" si="14"/>
        <v>68210266.724999994</v>
      </c>
      <c r="J32" s="611">
        <f t="shared" si="14"/>
        <v>89838209.475000009</v>
      </c>
      <c r="K32" s="611">
        <f t="shared" si="14"/>
        <v>71379368.549999997</v>
      </c>
      <c r="L32" s="611">
        <f t="shared" si="14"/>
        <v>7031837.700000003</v>
      </c>
      <c r="M32" s="611">
        <f t="shared" si="14"/>
        <v>74927210.849999979</v>
      </c>
      <c r="N32" s="611">
        <f t="shared" si="14"/>
        <v>66844225.349999994</v>
      </c>
      <c r="O32" s="612">
        <f>O30-O31</f>
        <v>963621303.07499969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29"/>
  <sheetViews>
    <sheetView workbookViewId="0">
      <selection activeCell="F16" sqref="F16"/>
    </sheetView>
  </sheetViews>
  <sheetFormatPr baseColWidth="10" defaultRowHeight="12.75" x14ac:dyDescent="0.2"/>
  <cols>
    <col min="1" max="1" width="16.42578125" style="552" bestFit="1" customWidth="1"/>
    <col min="2" max="2" width="9.140625" style="552" bestFit="1" customWidth="1"/>
    <col min="3" max="3" width="10.85546875" style="552" bestFit="1" customWidth="1"/>
    <col min="4" max="4" width="11.7109375" style="552" bestFit="1" customWidth="1"/>
    <col min="5" max="10" width="10.85546875" style="552" bestFit="1" customWidth="1"/>
    <col min="11" max="11" width="11.5703125" style="552" customWidth="1"/>
    <col min="12" max="12" width="11.28515625" style="552" customWidth="1"/>
    <col min="13" max="14" width="10.85546875" style="552" bestFit="1" customWidth="1"/>
    <col min="15" max="15" width="11.7109375" style="552" bestFit="1" customWidth="1"/>
    <col min="16" max="19" width="11.42578125" style="552"/>
    <col min="20" max="20" width="11.7109375" style="552" bestFit="1" customWidth="1"/>
    <col min="21" max="16384" width="11.42578125" style="552"/>
  </cols>
  <sheetData>
    <row r="1" spans="1:15" ht="15.75" x14ac:dyDescent="0.25">
      <c r="A1" s="1213" t="s">
        <v>269</v>
      </c>
      <c r="B1" s="1213"/>
      <c r="C1" s="1213"/>
      <c r="D1" s="1213"/>
      <c r="E1" s="1213"/>
      <c r="F1" s="1213"/>
      <c r="G1" s="1213"/>
      <c r="H1" s="1213"/>
      <c r="I1" s="1213"/>
      <c r="J1" s="1213"/>
      <c r="K1" s="1213"/>
      <c r="L1" s="1213"/>
      <c r="M1" s="1213"/>
      <c r="N1" s="1213"/>
      <c r="O1" s="1213"/>
    </row>
    <row r="2" spans="1:15" x14ac:dyDescent="0.2">
      <c r="A2" s="1214" t="s">
        <v>270</v>
      </c>
      <c r="B2" s="1214"/>
      <c r="C2" s="1214"/>
      <c r="D2" s="1214"/>
      <c r="E2" s="1214"/>
      <c r="F2" s="1214"/>
      <c r="G2" s="1214"/>
      <c r="H2" s="1214"/>
      <c r="I2" s="1214"/>
      <c r="J2" s="1214"/>
      <c r="K2" s="1214"/>
      <c r="L2" s="1214"/>
      <c r="M2" s="1214"/>
      <c r="N2" s="1214"/>
      <c r="O2" s="1214"/>
    </row>
    <row r="3" spans="1:15" x14ac:dyDescent="0.2">
      <c r="A3" s="1214" t="s">
        <v>271</v>
      </c>
      <c r="B3" s="1214"/>
      <c r="C3" s="1214"/>
      <c r="D3" s="1214"/>
      <c r="E3" s="1214"/>
      <c r="F3" s="1214"/>
      <c r="G3" s="1214"/>
      <c r="H3" s="1214"/>
      <c r="I3" s="1214"/>
      <c r="J3" s="1214"/>
      <c r="K3" s="1214"/>
      <c r="L3" s="1214"/>
      <c r="M3" s="1214"/>
      <c r="N3" s="1214"/>
      <c r="O3" s="1214"/>
    </row>
    <row r="4" spans="1:15" x14ac:dyDescent="0.2">
      <c r="A4" s="1215" t="s">
        <v>324</v>
      </c>
      <c r="B4" s="1215"/>
      <c r="C4" s="1215"/>
      <c r="D4" s="1215"/>
      <c r="E4" s="1215"/>
      <c r="F4" s="1215"/>
      <c r="G4" s="1215"/>
      <c r="H4" s="1215"/>
      <c r="I4" s="1215"/>
      <c r="J4" s="1215"/>
      <c r="K4" s="1215"/>
      <c r="L4" s="1215"/>
      <c r="M4" s="1215"/>
      <c r="N4" s="1215"/>
      <c r="O4" s="1215"/>
    </row>
    <row r="5" spans="1:15" ht="13.5" thickBot="1" x14ac:dyDescent="0.25"/>
    <row r="6" spans="1:15" ht="23.25" thickBot="1" x14ac:dyDescent="0.25">
      <c r="A6" s="579" t="s">
        <v>310</v>
      </c>
      <c r="B6" s="580" t="s">
        <v>273</v>
      </c>
      <c r="C6" s="579" t="s">
        <v>1</v>
      </c>
      <c r="D6" s="581" t="s">
        <v>2</v>
      </c>
      <c r="E6" s="579" t="s">
        <v>3</v>
      </c>
      <c r="F6" s="581" t="s">
        <v>4</v>
      </c>
      <c r="G6" s="579" t="s">
        <v>5</v>
      </c>
      <c r="H6" s="579" t="s">
        <v>6</v>
      </c>
      <c r="I6" s="579" t="s">
        <v>7</v>
      </c>
      <c r="J6" s="581" t="s">
        <v>8</v>
      </c>
      <c r="K6" s="579" t="s">
        <v>9</v>
      </c>
      <c r="L6" s="581" t="s">
        <v>10</v>
      </c>
      <c r="M6" s="579" t="s">
        <v>11</v>
      </c>
      <c r="N6" s="579" t="s">
        <v>12</v>
      </c>
      <c r="O6" s="582" t="s">
        <v>165</v>
      </c>
    </row>
    <row r="7" spans="1:15" x14ac:dyDescent="0.2">
      <c r="A7" s="557" t="s">
        <v>274</v>
      </c>
      <c r="B7" s="577">
        <v>3.6200000000000003E-2</v>
      </c>
      <c r="C7" s="584">
        <v>2878623.4198950008</v>
      </c>
      <c r="D7" s="585">
        <v>3381300.9729450005</v>
      </c>
      <c r="E7" s="584">
        <v>2809531.1197800003</v>
      </c>
      <c r="F7" s="585">
        <v>3098355.9393150005</v>
      </c>
      <c r="G7" s="584">
        <v>2623805.8405650002</v>
      </c>
      <c r="H7" s="584">
        <v>2518492.8964950005</v>
      </c>
      <c r="I7" s="586">
        <v>3139518.9529800005</v>
      </c>
      <c r="J7" s="585">
        <v>2702840.8887900002</v>
      </c>
      <c r="K7" s="584">
        <v>3012274.8552150005</v>
      </c>
      <c r="L7" s="585">
        <v>3455303.2989750002</v>
      </c>
      <c r="M7" s="584">
        <v>2701980.4509900003</v>
      </c>
      <c r="N7" s="584">
        <v>3028285.5468750005</v>
      </c>
      <c r="O7" s="587">
        <f>SUM(C7:N7)</f>
        <v>35350314.182820007</v>
      </c>
    </row>
    <row r="8" spans="1:15" x14ac:dyDescent="0.2">
      <c r="A8" s="557" t="s">
        <v>144</v>
      </c>
      <c r="B8" s="577">
        <v>2.47E-2</v>
      </c>
      <c r="C8" s="584">
        <v>1964143.6041825002</v>
      </c>
      <c r="D8" s="585">
        <v>2307130.7743575</v>
      </c>
      <c r="E8" s="584">
        <v>1917000.5154300001</v>
      </c>
      <c r="F8" s="585">
        <v>2114071.5939525003</v>
      </c>
      <c r="G8" s="584">
        <v>1790276.3608275</v>
      </c>
      <c r="H8" s="584">
        <v>1718419.1862825002</v>
      </c>
      <c r="I8" s="584">
        <v>2142157.9596299999</v>
      </c>
      <c r="J8" s="585">
        <v>1844203.589865</v>
      </c>
      <c r="K8" s="584">
        <v>2055336.7106025</v>
      </c>
      <c r="L8" s="585">
        <v>2357624.0741625</v>
      </c>
      <c r="M8" s="584">
        <v>1843616.495565</v>
      </c>
      <c r="N8" s="584">
        <v>2066261.1328125</v>
      </c>
      <c r="O8" s="587">
        <f t="shared" ref="O8:O26" si="0">SUM(C8:N8)</f>
        <v>24120241.997669999</v>
      </c>
    </row>
    <row r="9" spans="1:15" x14ac:dyDescent="0.2">
      <c r="A9" s="557" t="s">
        <v>145</v>
      </c>
      <c r="B9" s="577">
        <v>2.3300000000000001E-2</v>
      </c>
      <c r="C9" s="584">
        <v>1852815.6266175003</v>
      </c>
      <c r="D9" s="585">
        <v>2176362.2284425003</v>
      </c>
      <c r="E9" s="584">
        <v>1808344.6157700003</v>
      </c>
      <c r="F9" s="585">
        <v>1994245.6736475001</v>
      </c>
      <c r="G9" s="584">
        <v>1688803.2067725002</v>
      </c>
      <c r="H9" s="584">
        <v>1621018.9085175004</v>
      </c>
      <c r="I9" s="584">
        <v>2020740.0995700003</v>
      </c>
      <c r="J9" s="585">
        <v>1739673.8317350002</v>
      </c>
      <c r="K9" s="584">
        <v>1938839.8929975003</v>
      </c>
      <c r="L9" s="585">
        <v>2223993.5598375001</v>
      </c>
      <c r="M9" s="584">
        <v>1739120.0140350002</v>
      </c>
      <c r="N9" s="584">
        <v>1949145.1171875</v>
      </c>
      <c r="O9" s="587">
        <f t="shared" si="0"/>
        <v>22753102.775130007</v>
      </c>
    </row>
    <row r="10" spans="1:15" x14ac:dyDescent="0.2">
      <c r="A10" s="557" t="s">
        <v>275</v>
      </c>
      <c r="B10" s="577">
        <v>2.81E-2</v>
      </c>
      <c r="C10" s="584">
        <v>2234511.5496975002</v>
      </c>
      <c r="D10" s="585">
        <v>2624711.5287225004</v>
      </c>
      <c r="E10" s="584">
        <v>2180879.1288900003</v>
      </c>
      <c r="F10" s="585">
        <v>2405077.4004075001</v>
      </c>
      <c r="G10" s="584">
        <v>2036711.1635325002</v>
      </c>
      <c r="H10" s="584">
        <v>1954962.7179975002</v>
      </c>
      <c r="I10" s="584">
        <v>2437029.9054900003</v>
      </c>
      <c r="J10" s="585">
        <v>2098061.5738949999</v>
      </c>
      <c r="K10" s="584">
        <v>2338257.5533575001</v>
      </c>
      <c r="L10" s="585">
        <v>2682155.3232375002</v>
      </c>
      <c r="M10" s="584">
        <v>2097393.6649950002</v>
      </c>
      <c r="N10" s="584">
        <v>2350685.7421875</v>
      </c>
      <c r="O10" s="587">
        <f t="shared" si="0"/>
        <v>27440437.252410006</v>
      </c>
    </row>
    <row r="11" spans="1:15" x14ac:dyDescent="0.2">
      <c r="A11" s="557" t="s">
        <v>147</v>
      </c>
      <c r="B11" s="577">
        <v>4.6399999999999997E-2</v>
      </c>
      <c r="C11" s="584">
        <v>3689727.2564400001</v>
      </c>
      <c r="D11" s="585">
        <v>4334043.2360399999</v>
      </c>
      <c r="E11" s="584">
        <v>3601166.9601600002</v>
      </c>
      <c r="F11" s="585">
        <v>3971373.3586800001</v>
      </c>
      <c r="G11" s="584">
        <v>3363110.2486799997</v>
      </c>
      <c r="H11" s="584">
        <v>3228123.4916400001</v>
      </c>
      <c r="I11" s="584">
        <v>4024134.7905600001</v>
      </c>
      <c r="J11" s="585">
        <v>3464414.84088</v>
      </c>
      <c r="K11" s="584">
        <v>3861037.3834799998</v>
      </c>
      <c r="L11" s="585">
        <v>4428897.0461999997</v>
      </c>
      <c r="M11" s="584">
        <v>3463311.9592800001</v>
      </c>
      <c r="N11" s="584">
        <v>3881559.3749999995</v>
      </c>
      <c r="O11" s="587">
        <f t="shared" si="0"/>
        <v>45310899.947040007</v>
      </c>
    </row>
    <row r="12" spans="1:15" x14ac:dyDescent="0.2">
      <c r="A12" s="557" t="s">
        <v>276</v>
      </c>
      <c r="B12" s="577">
        <v>1.4999999999999999E-2</v>
      </c>
      <c r="C12" s="584">
        <v>1192799.7596250002</v>
      </c>
      <c r="D12" s="585">
        <v>1401091.5633750001</v>
      </c>
      <c r="E12" s="584">
        <v>1164170.3535</v>
      </c>
      <c r="F12" s="585">
        <v>1283849.146125</v>
      </c>
      <c r="G12" s="584">
        <v>1087212.364875</v>
      </c>
      <c r="H12" s="584">
        <v>1043574.4046250001</v>
      </c>
      <c r="I12" s="584">
        <v>1300905.6435</v>
      </c>
      <c r="J12" s="585">
        <v>1119961.6942499999</v>
      </c>
      <c r="K12" s="584">
        <v>1248180.188625</v>
      </c>
      <c r="L12" s="585">
        <v>1431755.5106249999</v>
      </c>
      <c r="M12" s="584">
        <v>1119605.15925</v>
      </c>
      <c r="N12" s="584">
        <v>1254814.453125</v>
      </c>
      <c r="O12" s="587">
        <f t="shared" si="0"/>
        <v>14647920.241500001</v>
      </c>
    </row>
    <row r="13" spans="1:15" x14ac:dyDescent="0.2">
      <c r="A13" s="557" t="s">
        <v>149</v>
      </c>
      <c r="B13" s="577">
        <v>1.5299999999999999E-2</v>
      </c>
      <c r="C13" s="584">
        <v>1216655.7548175</v>
      </c>
      <c r="D13" s="585">
        <v>1429113.3946425</v>
      </c>
      <c r="E13" s="584">
        <v>1187453.7605699999</v>
      </c>
      <c r="F13" s="585">
        <v>1309526.1290475</v>
      </c>
      <c r="G13" s="584">
        <v>1108956.6121725</v>
      </c>
      <c r="H13" s="584">
        <v>1064445.8927175</v>
      </c>
      <c r="I13" s="584">
        <v>1326923.7563700001</v>
      </c>
      <c r="J13" s="585">
        <v>1142360.9281349999</v>
      </c>
      <c r="K13" s="584">
        <v>1273143.7923975</v>
      </c>
      <c r="L13" s="585">
        <v>1460390.6208374999</v>
      </c>
      <c r="M13" s="584">
        <v>1141997.2624349999</v>
      </c>
      <c r="N13" s="584">
        <v>1279910.7421875</v>
      </c>
      <c r="O13" s="587">
        <f t="shared" si="0"/>
        <v>14940878.646330001</v>
      </c>
    </row>
    <row r="14" spans="1:15" x14ac:dyDescent="0.2">
      <c r="A14" s="557" t="s">
        <v>150</v>
      </c>
      <c r="B14" s="577">
        <v>3.1600000000000003E-2</v>
      </c>
      <c r="C14" s="584">
        <v>2512831.4936100007</v>
      </c>
      <c r="D14" s="585">
        <v>2951632.8935100008</v>
      </c>
      <c r="E14" s="584">
        <v>2452518.8780400003</v>
      </c>
      <c r="F14" s="585">
        <v>2704642.2011700002</v>
      </c>
      <c r="G14" s="584">
        <v>2290394.0486700004</v>
      </c>
      <c r="H14" s="584">
        <v>2198463.4124100003</v>
      </c>
      <c r="I14" s="584">
        <v>2740574.5556400004</v>
      </c>
      <c r="J14" s="585">
        <v>2359385.9692200003</v>
      </c>
      <c r="K14" s="584">
        <v>2629499.5973700006</v>
      </c>
      <c r="L14" s="585">
        <v>3016231.6090500001</v>
      </c>
      <c r="M14" s="584">
        <v>2358634.8688200004</v>
      </c>
      <c r="N14" s="584">
        <v>2643475.7812500005</v>
      </c>
      <c r="O14" s="587">
        <f t="shared" si="0"/>
        <v>30858285.308760006</v>
      </c>
    </row>
    <row r="15" spans="1:15" x14ac:dyDescent="0.2">
      <c r="A15" s="557" t="s">
        <v>151</v>
      </c>
      <c r="B15" s="577">
        <v>2.81E-2</v>
      </c>
      <c r="C15" s="584">
        <v>2234511.5496975002</v>
      </c>
      <c r="D15" s="585">
        <v>2624711.5287225004</v>
      </c>
      <c r="E15" s="584">
        <v>2180879.1288900003</v>
      </c>
      <c r="F15" s="585">
        <v>2405077.4004075001</v>
      </c>
      <c r="G15" s="584">
        <v>2036711.1635325002</v>
      </c>
      <c r="H15" s="584">
        <v>1954962.7179975002</v>
      </c>
      <c r="I15" s="584">
        <v>2437029.9054900003</v>
      </c>
      <c r="J15" s="585">
        <v>2098061.5738949999</v>
      </c>
      <c r="K15" s="584">
        <v>2338257.5533575001</v>
      </c>
      <c r="L15" s="585">
        <v>2682155.3232375002</v>
      </c>
      <c r="M15" s="584">
        <v>2097393.6649950002</v>
      </c>
      <c r="N15" s="584">
        <v>2350685.7421875</v>
      </c>
      <c r="O15" s="587">
        <f t="shared" si="0"/>
        <v>27440437.252410006</v>
      </c>
    </row>
    <row r="16" spans="1:15" x14ac:dyDescent="0.2">
      <c r="A16" s="557" t="s">
        <v>152</v>
      </c>
      <c r="B16" s="577">
        <v>1.6E-2</v>
      </c>
      <c r="C16" s="584">
        <v>1272319.7436000002</v>
      </c>
      <c r="D16" s="585">
        <v>1494497.6676000003</v>
      </c>
      <c r="E16" s="584">
        <v>1241781.7104000002</v>
      </c>
      <c r="F16" s="585">
        <v>1369439.0892</v>
      </c>
      <c r="G16" s="584">
        <v>1159693.1892000001</v>
      </c>
      <c r="H16" s="584">
        <v>1113146.0316000001</v>
      </c>
      <c r="I16" s="584">
        <v>1387632.6864000002</v>
      </c>
      <c r="J16" s="585">
        <v>1194625.8072000002</v>
      </c>
      <c r="K16" s="584">
        <v>1331392.2012</v>
      </c>
      <c r="L16" s="585">
        <v>1527205.878</v>
      </c>
      <c r="M16" s="584">
        <v>1194245.5032000002</v>
      </c>
      <c r="N16" s="584">
        <v>1338468.75</v>
      </c>
      <c r="O16" s="587">
        <f t="shared" si="0"/>
        <v>15624448.257600002</v>
      </c>
    </row>
    <row r="17" spans="1:20" x14ac:dyDescent="0.2">
      <c r="A17" s="557" t="s">
        <v>153</v>
      </c>
      <c r="B17" s="577">
        <v>2.8400000000000002E-2</v>
      </c>
      <c r="C17" s="584">
        <v>2258367.5448900005</v>
      </c>
      <c r="D17" s="585">
        <v>2652733.3599900003</v>
      </c>
      <c r="E17" s="584">
        <v>2204162.5359600005</v>
      </c>
      <c r="F17" s="585">
        <v>2430754.3833300001</v>
      </c>
      <c r="G17" s="584">
        <v>2058455.4108300002</v>
      </c>
      <c r="H17" s="584">
        <v>1975834.2060900005</v>
      </c>
      <c r="I17" s="584">
        <v>2463048.0183600001</v>
      </c>
      <c r="J17" s="585">
        <v>2120460.8077800004</v>
      </c>
      <c r="K17" s="584">
        <v>2363221.1571300002</v>
      </c>
      <c r="L17" s="585">
        <v>2710790.4334500004</v>
      </c>
      <c r="M17" s="584">
        <v>2119785.7681800001</v>
      </c>
      <c r="N17" s="584">
        <v>2375782.03125</v>
      </c>
      <c r="O17" s="587">
        <f t="shared" si="0"/>
        <v>27733395.657240007</v>
      </c>
    </row>
    <row r="18" spans="1:20" x14ac:dyDescent="0.2">
      <c r="A18" s="557" t="s">
        <v>154</v>
      </c>
      <c r="B18" s="577">
        <v>3.3300000000000003E-2</v>
      </c>
      <c r="C18" s="584">
        <v>2648015.4663675004</v>
      </c>
      <c r="D18" s="585">
        <v>3110423.2706925008</v>
      </c>
      <c r="E18" s="584">
        <v>2584458.1847700006</v>
      </c>
      <c r="F18" s="585">
        <v>2850145.1043975004</v>
      </c>
      <c r="G18" s="584">
        <v>2413611.4500225005</v>
      </c>
      <c r="H18" s="584">
        <v>2316735.1782675004</v>
      </c>
      <c r="I18" s="584">
        <v>2888010.5285700005</v>
      </c>
      <c r="J18" s="585">
        <v>2486314.9612350003</v>
      </c>
      <c r="K18" s="584">
        <v>2770960.0187475001</v>
      </c>
      <c r="L18" s="585">
        <v>3178497.2335875002</v>
      </c>
      <c r="M18" s="584">
        <v>2485523.4535350003</v>
      </c>
      <c r="N18" s="584">
        <v>2785688.0859375005</v>
      </c>
      <c r="O18" s="587">
        <f t="shared" si="0"/>
        <v>32518382.936130006</v>
      </c>
    </row>
    <row r="19" spans="1:20" x14ac:dyDescent="0.2">
      <c r="A19" s="557" t="s">
        <v>155</v>
      </c>
      <c r="B19" s="577">
        <v>4.6899999999999997E-2</v>
      </c>
      <c r="C19" s="584">
        <v>3729487.2484275</v>
      </c>
      <c r="D19" s="585">
        <v>4380746.2881525001</v>
      </c>
      <c r="E19" s="584">
        <v>3639972.6386100003</v>
      </c>
      <c r="F19" s="585">
        <v>4014168.3302174998</v>
      </c>
      <c r="G19" s="584">
        <v>3399350.6608425002</v>
      </c>
      <c r="H19" s="584">
        <v>3262909.3051275001</v>
      </c>
      <c r="I19" s="584">
        <v>4067498.31201</v>
      </c>
      <c r="J19" s="585">
        <v>3501746.897355</v>
      </c>
      <c r="K19" s="584">
        <v>3902643.3897675001</v>
      </c>
      <c r="L19" s="585">
        <v>4476622.2298874995</v>
      </c>
      <c r="M19" s="584">
        <v>3500632.1312549999</v>
      </c>
      <c r="N19" s="584">
        <v>3923386.5234375</v>
      </c>
      <c r="O19" s="587">
        <f t="shared" si="0"/>
        <v>45799163.955090001</v>
      </c>
    </row>
    <row r="20" spans="1:20" x14ac:dyDescent="0.2">
      <c r="A20" s="557" t="s">
        <v>277</v>
      </c>
      <c r="B20" s="577">
        <v>2.1299999999999999E-2</v>
      </c>
      <c r="C20" s="584">
        <v>1693775.6586675001</v>
      </c>
      <c r="D20" s="585">
        <v>1989550.0199925001</v>
      </c>
      <c r="E20" s="584">
        <v>1653121.90197</v>
      </c>
      <c r="F20" s="585">
        <v>1823065.7874975</v>
      </c>
      <c r="G20" s="584">
        <v>1543841.5581225001</v>
      </c>
      <c r="H20" s="584">
        <v>1481875.6545675001</v>
      </c>
      <c r="I20" s="584">
        <v>1847286.0137700001</v>
      </c>
      <c r="J20" s="585">
        <v>1590345.6058350001</v>
      </c>
      <c r="K20" s="584">
        <v>1772415.8678475001</v>
      </c>
      <c r="L20" s="585">
        <v>2033092.8250875</v>
      </c>
      <c r="M20" s="584">
        <v>1589839.326135</v>
      </c>
      <c r="N20" s="584">
        <v>1781836.5234375</v>
      </c>
      <c r="O20" s="587">
        <f t="shared" si="0"/>
        <v>20800046.742929999</v>
      </c>
    </row>
    <row r="21" spans="1:20" x14ac:dyDescent="0.2">
      <c r="A21" s="557" t="s">
        <v>278</v>
      </c>
      <c r="B21" s="577">
        <v>2.81E-2</v>
      </c>
      <c r="C21" s="584">
        <v>2234511.5496975002</v>
      </c>
      <c r="D21" s="585">
        <v>2624711.5287225004</v>
      </c>
      <c r="E21" s="584">
        <v>2180879.1288900003</v>
      </c>
      <c r="F21" s="585">
        <v>2405077.4004075001</v>
      </c>
      <c r="G21" s="584">
        <v>2036711.1635325002</v>
      </c>
      <c r="H21" s="584">
        <v>1954962.7179975002</v>
      </c>
      <c r="I21" s="584">
        <v>2437029.9054900003</v>
      </c>
      <c r="J21" s="585">
        <v>2098061.5738949999</v>
      </c>
      <c r="K21" s="584">
        <v>2338257.5533575001</v>
      </c>
      <c r="L21" s="585">
        <v>2682155.3232375002</v>
      </c>
      <c r="M21" s="584">
        <v>2097393.6649950002</v>
      </c>
      <c r="N21" s="584">
        <v>2350685.7421875</v>
      </c>
      <c r="O21" s="587">
        <f t="shared" si="0"/>
        <v>27440437.252410006</v>
      </c>
    </row>
    <row r="22" spans="1:20" x14ac:dyDescent="0.2">
      <c r="A22" s="557" t="s">
        <v>279</v>
      </c>
      <c r="B22" s="577">
        <v>8.3400000000000002E-2</v>
      </c>
      <c r="C22" s="584">
        <v>6631966.6635150006</v>
      </c>
      <c r="D22" s="585">
        <v>7790069.0923650013</v>
      </c>
      <c r="E22" s="584">
        <v>6472787.1654600007</v>
      </c>
      <c r="F22" s="585">
        <v>7138201.2524550008</v>
      </c>
      <c r="G22" s="584">
        <v>6044900.7487050006</v>
      </c>
      <c r="H22" s="584">
        <v>5802273.6897150008</v>
      </c>
      <c r="I22" s="584">
        <v>7233035.3778600004</v>
      </c>
      <c r="J22" s="585">
        <v>6226987.0200300002</v>
      </c>
      <c r="K22" s="584">
        <v>6939881.8487550002</v>
      </c>
      <c r="L22" s="585">
        <v>7960560.6390749998</v>
      </c>
      <c r="M22" s="584">
        <v>6225004.6854300005</v>
      </c>
      <c r="N22" s="584">
        <v>6976768.359375</v>
      </c>
      <c r="O22" s="587">
        <f t="shared" si="0"/>
        <v>81442436.542740017</v>
      </c>
    </row>
    <row r="23" spans="1:20" x14ac:dyDescent="0.2">
      <c r="A23" s="557" t="s">
        <v>159</v>
      </c>
      <c r="B23" s="577">
        <v>3.5000000000000003E-2</v>
      </c>
      <c r="C23" s="584">
        <v>2783199.4391250005</v>
      </c>
      <c r="D23" s="585">
        <v>3269213.6478750007</v>
      </c>
      <c r="E23" s="584">
        <v>2716397.4915000005</v>
      </c>
      <c r="F23" s="585">
        <v>2995648.0076250006</v>
      </c>
      <c r="G23" s="584">
        <v>2536828.8513750006</v>
      </c>
      <c r="H23" s="584">
        <v>2435006.9441250004</v>
      </c>
      <c r="I23" s="584">
        <v>3035446.5015000007</v>
      </c>
      <c r="J23" s="585">
        <v>2613243.9532500003</v>
      </c>
      <c r="K23" s="584">
        <v>2912420.4401250002</v>
      </c>
      <c r="L23" s="585">
        <v>3340762.8581250003</v>
      </c>
      <c r="M23" s="584">
        <v>2612412.0382500002</v>
      </c>
      <c r="N23" s="584">
        <v>2927900.3906250005</v>
      </c>
      <c r="O23" s="587">
        <f t="shared" si="0"/>
        <v>34178480.563500009</v>
      </c>
    </row>
    <row r="24" spans="1:20" x14ac:dyDescent="0.2">
      <c r="A24" s="557" t="s">
        <v>160</v>
      </c>
      <c r="B24" s="577">
        <v>0.39</v>
      </c>
      <c r="C24" s="584">
        <v>31012793.750250004</v>
      </c>
      <c r="D24" s="585">
        <v>36428380.647750005</v>
      </c>
      <c r="E24" s="584">
        <v>30268429.191000003</v>
      </c>
      <c r="F24" s="585">
        <v>33380077.799250003</v>
      </c>
      <c r="G24" s="584">
        <v>28267521.486750003</v>
      </c>
      <c r="H24" s="584">
        <v>27132934.520250004</v>
      </c>
      <c r="I24" s="584">
        <v>33823546.731000006</v>
      </c>
      <c r="J24" s="585">
        <v>29119004.050500002</v>
      </c>
      <c r="K24" s="584">
        <v>32452684.904250003</v>
      </c>
      <c r="L24" s="585">
        <v>37225643.276250005</v>
      </c>
      <c r="M24" s="584">
        <v>29109734.140500002</v>
      </c>
      <c r="N24" s="584">
        <v>32625175.78125</v>
      </c>
      <c r="O24" s="587">
        <f t="shared" si="0"/>
        <v>380845926.27900004</v>
      </c>
      <c r="T24" s="561"/>
    </row>
    <row r="25" spans="1:20" x14ac:dyDescent="0.2">
      <c r="A25" s="557" t="s">
        <v>161</v>
      </c>
      <c r="B25" s="577">
        <v>3.7900000000000003E-2</v>
      </c>
      <c r="C25" s="584">
        <v>3013807.3926525004</v>
      </c>
      <c r="D25" s="585">
        <v>3540091.3501275005</v>
      </c>
      <c r="E25" s="584">
        <v>2941470.4265100006</v>
      </c>
      <c r="F25" s="585">
        <v>3243858.8425425002</v>
      </c>
      <c r="G25" s="584">
        <v>2747023.2419175003</v>
      </c>
      <c r="H25" s="584">
        <v>2636764.6623525005</v>
      </c>
      <c r="I25" s="584">
        <v>3286954.9259100007</v>
      </c>
      <c r="J25" s="585">
        <v>2829769.8808050002</v>
      </c>
      <c r="K25" s="584">
        <v>3153735.2765925005</v>
      </c>
      <c r="L25" s="585">
        <v>3617568.9235125002</v>
      </c>
      <c r="M25" s="584">
        <v>2828869.0357050002</v>
      </c>
      <c r="N25" s="584">
        <v>3170497.8515625005</v>
      </c>
      <c r="O25" s="587">
        <f t="shared" si="0"/>
        <v>37010411.810190007</v>
      </c>
      <c r="T25" s="561"/>
    </row>
    <row r="26" spans="1:20" ht="13.5" thickBot="1" x14ac:dyDescent="0.25">
      <c r="A26" s="557" t="s">
        <v>162</v>
      </c>
      <c r="B26" s="577">
        <v>3.1E-2</v>
      </c>
      <c r="C26" s="584">
        <v>2465119.5032250001</v>
      </c>
      <c r="D26" s="585">
        <v>2895589.2309750002</v>
      </c>
      <c r="E26" s="584">
        <v>2405952.0639</v>
      </c>
      <c r="F26" s="585">
        <v>2653288.2353250002</v>
      </c>
      <c r="G26" s="584">
        <v>2246905.5540749999</v>
      </c>
      <c r="H26" s="584">
        <v>2156720.4362250003</v>
      </c>
      <c r="I26" s="590">
        <v>2688538.3299000002</v>
      </c>
      <c r="J26" s="585">
        <v>2314587.5014499999</v>
      </c>
      <c r="K26" s="584">
        <v>2579572.389825</v>
      </c>
      <c r="L26" s="585">
        <v>2958961.3886250001</v>
      </c>
      <c r="M26" s="584">
        <v>2313850.6624500002</v>
      </c>
      <c r="N26" s="584">
        <v>2593283.203125</v>
      </c>
      <c r="O26" s="587">
        <f t="shared" si="0"/>
        <v>30272368.4991</v>
      </c>
      <c r="T26" s="561"/>
    </row>
    <row r="27" spans="1:20" ht="13.5" thickBot="1" x14ac:dyDescent="0.25">
      <c r="A27" s="562" t="s">
        <v>280</v>
      </c>
      <c r="B27" s="578">
        <f>SUM(B7:B26)</f>
        <v>1</v>
      </c>
      <c r="C27" s="592">
        <f>SUM(C7:C26)</f>
        <v>79519983.975000009</v>
      </c>
      <c r="D27" s="592">
        <f t="shared" ref="D27:N27" si="1">SUM(D7:D26)</f>
        <v>93406104.225000024</v>
      </c>
      <c r="E27" s="592">
        <f t="shared" si="1"/>
        <v>77611356.900000006</v>
      </c>
      <c r="F27" s="592">
        <f t="shared" si="1"/>
        <v>85589943.075000003</v>
      </c>
      <c r="G27" s="592">
        <f t="shared" si="1"/>
        <v>72480824.325000003</v>
      </c>
      <c r="H27" s="592">
        <f t="shared" si="1"/>
        <v>69571626.975000009</v>
      </c>
      <c r="I27" s="592">
        <f t="shared" si="1"/>
        <v>86727042.900000006</v>
      </c>
      <c r="J27" s="592">
        <f t="shared" si="1"/>
        <v>74664112.950000003</v>
      </c>
      <c r="K27" s="592">
        <f t="shared" si="1"/>
        <v>83212012.575000003</v>
      </c>
      <c r="L27" s="592">
        <f t="shared" si="1"/>
        <v>95450367.375</v>
      </c>
      <c r="M27" s="592">
        <f t="shared" si="1"/>
        <v>74640343.950000003</v>
      </c>
      <c r="N27" s="592">
        <f t="shared" si="1"/>
        <v>83654296.875</v>
      </c>
      <c r="O27" s="592">
        <f>SUM(C27:N27)</f>
        <v>976528016.10000026</v>
      </c>
      <c r="T27" s="561"/>
    </row>
    <row r="28" spans="1:20" x14ac:dyDescent="0.2">
      <c r="A28" s="565"/>
      <c r="B28" s="565"/>
      <c r="C28" s="565"/>
      <c r="D28" s="565"/>
      <c r="E28" s="565"/>
      <c r="F28" s="565"/>
      <c r="G28" s="565"/>
      <c r="H28" s="565"/>
      <c r="I28" s="565"/>
      <c r="J28" s="565"/>
      <c r="K28" s="565"/>
      <c r="L28" s="565"/>
      <c r="M28" s="565"/>
      <c r="N28" s="565"/>
      <c r="O28" s="565"/>
      <c r="T28" s="561"/>
    </row>
    <row r="29" spans="1:20" x14ac:dyDescent="0.2">
      <c r="A29" s="566" t="s">
        <v>281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9" tint="0.39997558519241921"/>
  </sheetPr>
  <dimension ref="A1:T26"/>
  <sheetViews>
    <sheetView workbookViewId="0">
      <selection activeCell="I12" sqref="I12:K12"/>
    </sheetView>
  </sheetViews>
  <sheetFormatPr baseColWidth="10" defaultRowHeight="12.75" x14ac:dyDescent="0.2"/>
  <cols>
    <col min="1" max="1" width="16.42578125" style="552" bestFit="1" customWidth="1"/>
    <col min="2" max="2" width="9.140625" style="552" hidden="1" customWidth="1"/>
    <col min="3" max="10" width="9.5703125" style="552" bestFit="1" customWidth="1"/>
    <col min="11" max="11" width="9.7109375" style="552" bestFit="1" customWidth="1"/>
    <col min="12" max="14" width="9.5703125" style="552" bestFit="1" customWidth="1"/>
    <col min="15" max="15" width="10.85546875" style="552" bestFit="1" customWidth="1"/>
    <col min="16" max="16" width="12.7109375" style="552" bestFit="1" customWidth="1"/>
    <col min="17" max="19" width="11.42578125" style="552"/>
    <col min="20" max="20" width="11.7109375" style="552" bestFit="1" customWidth="1"/>
    <col min="21" max="16384" width="11.42578125" style="552"/>
  </cols>
  <sheetData>
    <row r="1" spans="1:17" x14ac:dyDescent="0.2">
      <c r="A1" s="1215" t="s">
        <v>340</v>
      </c>
      <c r="B1" s="1215"/>
      <c r="C1" s="1215"/>
      <c r="D1" s="1215"/>
      <c r="E1" s="1215"/>
      <c r="F1" s="1215"/>
      <c r="G1" s="1215"/>
      <c r="H1" s="1215"/>
      <c r="I1" s="1215"/>
      <c r="J1" s="1215"/>
      <c r="K1" s="1215"/>
      <c r="L1" s="1215"/>
      <c r="M1" s="1215"/>
      <c r="N1" s="1215"/>
      <c r="O1" s="1215"/>
    </row>
    <row r="2" spans="1:17" ht="13.5" thickBot="1" x14ac:dyDescent="0.25"/>
    <row r="3" spans="1:17" ht="23.25" thickBot="1" x14ac:dyDescent="0.25">
      <c r="A3" s="579" t="s">
        <v>310</v>
      </c>
      <c r="B3" s="580" t="s">
        <v>273</v>
      </c>
      <c r="C3" s="579" t="s">
        <v>1</v>
      </c>
      <c r="D3" s="581" t="s">
        <v>2</v>
      </c>
      <c r="E3" s="579" t="s">
        <v>3</v>
      </c>
      <c r="F3" s="581" t="s">
        <v>4</v>
      </c>
      <c r="G3" s="579" t="s">
        <v>5</v>
      </c>
      <c r="H3" s="579" t="s">
        <v>6</v>
      </c>
      <c r="I3" s="579" t="s">
        <v>7</v>
      </c>
      <c r="J3" s="581" t="s">
        <v>8</v>
      </c>
      <c r="K3" s="579" t="s">
        <v>9</v>
      </c>
      <c r="L3" s="581" t="s">
        <v>10</v>
      </c>
      <c r="M3" s="579" t="s">
        <v>11</v>
      </c>
      <c r="N3" s="579" t="s">
        <v>12</v>
      </c>
      <c r="O3" s="582" t="s">
        <v>165</v>
      </c>
    </row>
    <row r="4" spans="1:17" x14ac:dyDescent="0.2">
      <c r="A4" s="557" t="s">
        <v>274</v>
      </c>
      <c r="B4" s="577"/>
      <c r="C4" s="559">
        <f>F.G.P.INCREMENTO!C7</f>
        <v>2560111.3202297674</v>
      </c>
      <c r="D4" s="559">
        <f>F.G.P.INCREMENTO!D7</f>
        <v>4449717.3558916142</v>
      </c>
      <c r="E4" s="559">
        <f>F.G.P.INCREMENTO!E7</f>
        <v>2219935.711278847</v>
      </c>
      <c r="F4" s="559">
        <f>F.G.P.INCREMENTO!F7</f>
        <v>3098199.9329071953</v>
      </c>
      <c r="G4" s="559">
        <f>F.G.P.INCREMENTO!G7</f>
        <v>5003914.5543674594</v>
      </c>
      <c r="H4" s="559">
        <f>F.G.P.INCREMENTO!H7</f>
        <v>4962163.3322834894</v>
      </c>
      <c r="I4" s="559">
        <f>F.G.P.INCREMENTO!I7</f>
        <v>2597724.7411634172</v>
      </c>
      <c r="J4" s="559">
        <f>F.G.P.INCREMENTO!J7</f>
        <v>3421404.8802347542</v>
      </c>
      <c r="K4" s="559">
        <f>F.G.P.INCREMENTO!K7</f>
        <v>2718417.0447320137</v>
      </c>
      <c r="L4" s="559">
        <f>F.G.P.INCREMENTO!L7</f>
        <v>267801.01656515943</v>
      </c>
      <c r="M4" s="559">
        <f>F.G.P.INCREMENTO!M7</f>
        <v>2853533.3279978903</v>
      </c>
      <c r="N4" s="559">
        <f>F.G.P.INCREMENTO!N7</f>
        <v>2545700.3224406885</v>
      </c>
      <c r="O4" s="560">
        <f>SUM(C4:N4)</f>
        <v>36698623.540092304</v>
      </c>
      <c r="P4" s="561"/>
      <c r="Q4" s="561"/>
    </row>
    <row r="5" spans="1:17" x14ac:dyDescent="0.2">
      <c r="A5" s="557" t="s">
        <v>144</v>
      </c>
      <c r="B5" s="577"/>
      <c r="C5" s="559">
        <f>F.G.P.INCREMENTO!C8</f>
        <v>1928706.5335092484</v>
      </c>
      <c r="D5" s="559">
        <f>F.G.P.INCREMENTO!D8</f>
        <v>3352275.6876866631</v>
      </c>
      <c r="E5" s="559">
        <f>F.G.P.INCREMENTO!E8</f>
        <v>1672429.0371598934</v>
      </c>
      <c r="F5" s="559">
        <f>F.G.P.INCREMENTO!F8</f>
        <v>2334085.3991379277</v>
      </c>
      <c r="G5" s="559">
        <f>F.G.P.INCREMENTO!G8</f>
        <v>3769790.2500834865</v>
      </c>
      <c r="H5" s="559">
        <f>F.G.P.INCREMENTO!H8</f>
        <v>3738336.2058085203</v>
      </c>
      <c r="I5" s="559">
        <f>F.G.P.INCREMENTO!I8</f>
        <v>1957043.2898561771</v>
      </c>
      <c r="J5" s="559">
        <f>F.G.P.INCREMENTO!J8</f>
        <v>2577577.7381809144</v>
      </c>
      <c r="K5" s="559">
        <f>F.G.P.INCREMENTO!K8</f>
        <v>2047969.0369506986</v>
      </c>
      <c r="L5" s="559">
        <f>F.G.P.INCREMENTO!L8</f>
        <v>201752.77779846123</v>
      </c>
      <c r="M5" s="559">
        <f>F.G.P.INCREMENTO!M8</f>
        <v>2149761.3520969767</v>
      </c>
      <c r="N5" s="559">
        <f>F.G.P.INCREMENTO!N8</f>
        <v>1917849.7456146937</v>
      </c>
      <c r="O5" s="560">
        <f t="shared" ref="O5:O23" si="0">SUM(C5:N5)</f>
        <v>27647577.053883664</v>
      </c>
      <c r="P5" s="561"/>
      <c r="Q5" s="561"/>
    </row>
    <row r="6" spans="1:17" x14ac:dyDescent="0.2">
      <c r="A6" s="557" t="s">
        <v>145</v>
      </c>
      <c r="B6" s="577"/>
      <c r="C6" s="559">
        <f>F.G.P.INCREMENTO!C9</f>
        <v>1936395.7604521927</v>
      </c>
      <c r="D6" s="559">
        <f>F.G.P.INCREMENTO!D9</f>
        <v>3365640.2966046603</v>
      </c>
      <c r="E6" s="559">
        <f>F.G.P.INCREMENTO!E9</f>
        <v>1679096.5556181287</v>
      </c>
      <c r="F6" s="559">
        <f>F.G.P.INCREMENTO!F9</f>
        <v>2343390.7610612516</v>
      </c>
      <c r="G6" s="559">
        <f>F.G.P.INCREMENTO!G9</f>
        <v>3784819.3756951727</v>
      </c>
      <c r="H6" s="559">
        <f>F.G.P.INCREMENTO!H9</f>
        <v>3753239.9327239804</v>
      </c>
      <c r="I6" s="559">
        <f>F.G.P.INCREMENTO!I9</f>
        <v>1964845.4877185393</v>
      </c>
      <c r="J6" s="559">
        <f>F.G.P.INCREMENTO!J9</f>
        <v>2587853.8376535969</v>
      </c>
      <c r="K6" s="559">
        <f>F.G.P.INCREMENTO!K9</f>
        <v>2056133.7309690181</v>
      </c>
      <c r="L6" s="559">
        <f>F.G.P.INCREMENTO!L9</f>
        <v>202557.11110055211</v>
      </c>
      <c r="M6" s="559">
        <f>F.G.P.INCREMENTO!M9</f>
        <v>2158331.8643144923</v>
      </c>
      <c r="N6" s="559">
        <f>F.G.P.INCREMENTO!N9</f>
        <v>1925495.6895052176</v>
      </c>
      <c r="O6" s="560">
        <f t="shared" si="0"/>
        <v>27757800.403416798</v>
      </c>
      <c r="P6" s="561"/>
      <c r="Q6" s="561"/>
    </row>
    <row r="7" spans="1:17" x14ac:dyDescent="0.2">
      <c r="A7" s="557" t="s">
        <v>275</v>
      </c>
      <c r="B7" s="577"/>
      <c r="C7" s="559">
        <f>F.G.P.INCREMENTO!C10</f>
        <v>7151859.4916302981</v>
      </c>
      <c r="D7" s="559">
        <f>F.G.P.INCREMENTO!D10</f>
        <v>12430613.096913833</v>
      </c>
      <c r="E7" s="559">
        <f>F.G.P.INCREMENTO!E10</f>
        <v>6201553.8785609389</v>
      </c>
      <c r="F7" s="559">
        <f>F.G.P.INCREMENTO!F10</f>
        <v>8655049.654302543</v>
      </c>
      <c r="G7" s="559">
        <f>F.G.P.INCREMENTO!G10</f>
        <v>13978803.780199697</v>
      </c>
      <c r="H7" s="559">
        <f>F.G.P.INCREMENTO!H10</f>
        <v>13862168.666879075</v>
      </c>
      <c r="I7" s="559">
        <f>F.G.P.INCREMENTO!I10</f>
        <v>7256935.3527428005</v>
      </c>
      <c r="J7" s="559">
        <f>F.G.P.INCREMENTO!J10</f>
        <v>9557946.4744607452</v>
      </c>
      <c r="K7" s="559">
        <f>F.G.P.INCREMENTO!K10</f>
        <v>7594098.1901643872</v>
      </c>
      <c r="L7" s="559">
        <f>F.G.P.INCREMENTO!L10</f>
        <v>748121.85980173876</v>
      </c>
      <c r="M7" s="559">
        <f>F.G.P.INCREMENTO!M10</f>
        <v>7971555.4770069532</v>
      </c>
      <c r="N7" s="559">
        <f>F.G.P.INCREMENTO!N10</f>
        <v>7111601.3081258265</v>
      </c>
      <c r="O7" s="560">
        <f t="shared" si="0"/>
        <v>102520307.23078884</v>
      </c>
      <c r="P7" s="561"/>
      <c r="Q7" s="561"/>
    </row>
    <row r="8" spans="1:17" x14ac:dyDescent="0.2">
      <c r="A8" s="557" t="s">
        <v>147</v>
      </c>
      <c r="B8" s="577"/>
      <c r="C8" s="559">
        <f>F.G.P.INCREMENTO!C11</f>
        <v>3767659.8450500919</v>
      </c>
      <c r="D8" s="559">
        <f>F.G.P.INCREMENTO!D11</f>
        <v>6548551.7255205372</v>
      </c>
      <c r="E8" s="559">
        <f>F.G.P.INCREMENTO!E11</f>
        <v>3267030.8403727417</v>
      </c>
      <c r="F8" s="559">
        <f>F.G.P.INCREMENTO!F11</f>
        <v>4559553.0893178862</v>
      </c>
      <c r="G8" s="559">
        <f>F.G.P.INCREMENTO!G11</f>
        <v>7364151.62324268</v>
      </c>
      <c r="H8" s="559">
        <f>F.G.P.INCREMENTO!H11</f>
        <v>7302707.2627242375</v>
      </c>
      <c r="I8" s="559">
        <f>F.G.P.INCREMENTO!I11</f>
        <v>3823014.6941017183</v>
      </c>
      <c r="J8" s="559">
        <f>F.G.P.INCREMENTO!J11</f>
        <v>5035206.7424013326</v>
      </c>
      <c r="K8" s="559">
        <f>F.G.P.INCREMENTO!K11</f>
        <v>4000634.9179446353</v>
      </c>
      <c r="L8" s="559">
        <f>F.G.P.INCREMENTO!L11</f>
        <v>394116.89976262063</v>
      </c>
      <c r="M8" s="559">
        <f>F.G.P.INCREMENTO!M11</f>
        <v>4199482.5972820977</v>
      </c>
      <c r="N8" s="559">
        <f>F.G.P.INCREMENTO!N11</f>
        <v>3746451.4947459553</v>
      </c>
      <c r="O8" s="560">
        <f t="shared" si="0"/>
        <v>54008561.732466534</v>
      </c>
      <c r="P8" s="561"/>
      <c r="Q8" s="561"/>
    </row>
    <row r="9" spans="1:17" x14ac:dyDescent="0.2">
      <c r="A9" s="557" t="s">
        <v>276</v>
      </c>
      <c r="B9" s="577"/>
      <c r="C9" s="559">
        <f>F.G.P.INCREMENTO!C12</f>
        <v>2461712.0436937334</v>
      </c>
      <c r="D9" s="559">
        <f>F.G.P.INCREMENTO!D12</f>
        <v>4278690.0395598104</v>
      </c>
      <c r="E9" s="559">
        <f>F.G.P.INCREMENTO!E12</f>
        <v>2134611.2700249646</v>
      </c>
      <c r="F9" s="559">
        <f>F.G.P.INCREMENTO!F12</f>
        <v>2979118.9267208334</v>
      </c>
      <c r="G9" s="559">
        <f>F.G.P.INCREMENTO!G12</f>
        <v>4811586.3660941087</v>
      </c>
      <c r="H9" s="559">
        <f>F.G.P.INCREMENTO!H12</f>
        <v>4771439.8750290964</v>
      </c>
      <c r="I9" s="559">
        <f>F.G.P.INCREMENTO!I12</f>
        <v>2497879.7722550752</v>
      </c>
      <c r="J9" s="559">
        <f>F.G.P.INCREMENTO!J12</f>
        <v>3289901.315412526</v>
      </c>
      <c r="K9" s="559">
        <f>F.G.P.INCREMENTO!K12</f>
        <v>2613933.2012322526</v>
      </c>
      <c r="L9" s="559">
        <f>F.G.P.INCREMENTO!L12</f>
        <v>257507.93826133743</v>
      </c>
      <c r="M9" s="559">
        <f>F.G.P.INCREMENTO!M12</f>
        <v>2743856.2163708638</v>
      </c>
      <c r="N9" s="559">
        <f>F.G.P.INCREMENTO!N12</f>
        <v>2447854.9404737707</v>
      </c>
      <c r="O9" s="560">
        <f t="shared" si="0"/>
        <v>35288091.905128375</v>
      </c>
      <c r="P9" s="561"/>
      <c r="Q9" s="561"/>
    </row>
    <row r="10" spans="1:17" x14ac:dyDescent="0.2">
      <c r="A10" s="557" t="s">
        <v>149</v>
      </c>
      <c r="B10" s="577"/>
      <c r="C10" s="559">
        <f>F.G.P.INCREMENTO!C13</f>
        <v>2063565.5592430264</v>
      </c>
      <c r="D10" s="559">
        <f>F.G.P.INCREMENTO!D13</f>
        <v>3586673.5213528834</v>
      </c>
      <c r="E10" s="559">
        <f>F.G.P.INCREMENTO!E13</f>
        <v>1789368.6267976665</v>
      </c>
      <c r="F10" s="559">
        <f>F.G.P.INCREMENTO!F13</f>
        <v>2497289.3274900825</v>
      </c>
      <c r="G10" s="559">
        <f>F.G.P.INCREMENTO!G13</f>
        <v>4033381.5386046832</v>
      </c>
      <c r="H10" s="559">
        <f>F.G.P.INCREMENTO!H13</f>
        <v>3999728.1645236467</v>
      </c>
      <c r="I10" s="559">
        <f>F.G.P.INCREMENTO!I13</f>
        <v>2093883.6783774025</v>
      </c>
      <c r="J10" s="559">
        <f>F.G.P.INCREMENTO!J13</f>
        <v>2757807.1388101969</v>
      </c>
      <c r="K10" s="559">
        <f>F.G.P.INCREMENTO!K13</f>
        <v>2191167.1359137362</v>
      </c>
      <c r="L10" s="559">
        <f>F.G.P.INCREMENTO!L13</f>
        <v>215859.73631198847</v>
      </c>
      <c r="M10" s="559">
        <f>F.G.P.INCREMENTO!M13</f>
        <v>2300076.9737153845</v>
      </c>
      <c r="N10" s="559">
        <f>F.G.P.INCREMENTO!N13</f>
        <v>2051949.6429831034</v>
      </c>
      <c r="O10" s="560">
        <f t="shared" si="0"/>
        <v>29580751.044123799</v>
      </c>
      <c r="P10" s="561"/>
      <c r="Q10" s="561"/>
    </row>
    <row r="11" spans="1:17" x14ac:dyDescent="0.2">
      <c r="A11" s="557" t="s">
        <v>150</v>
      </c>
      <c r="B11" s="577"/>
      <c r="C11" s="559">
        <f>F.G.P.INCREMENTO!C14</f>
        <v>2304912.4411513065</v>
      </c>
      <c r="D11" s="559">
        <f>F.G.P.INCREMENTO!D14</f>
        <v>4006157.3932968634</v>
      </c>
      <c r="E11" s="559">
        <f>F.G.P.INCREMENTO!E14</f>
        <v>1998646.4647261768</v>
      </c>
      <c r="F11" s="559">
        <f>F.G.P.INCREMENTO!F14</f>
        <v>2789362.9132857528</v>
      </c>
      <c r="G11" s="559">
        <f>F.G.P.INCREMENTO!G14</f>
        <v>4505110.703461335</v>
      </c>
      <c r="H11" s="559">
        <f>F.G.P.INCREMENTO!H14</f>
        <v>4467521.3570707338</v>
      </c>
      <c r="I11" s="559">
        <f>F.G.P.INCREMENTO!I14</f>
        <v>2338776.4536960619</v>
      </c>
      <c r="J11" s="559">
        <f>F.G.P.INCREMENTO!J14</f>
        <v>3080349.9099254473</v>
      </c>
      <c r="K11" s="559">
        <f>F.G.P.INCREMENTO!K14</f>
        <v>2447437.8192578927</v>
      </c>
      <c r="L11" s="559">
        <f>F.G.P.INCREMENTO!L14</f>
        <v>241105.88080935669</v>
      </c>
      <c r="M11" s="559">
        <f>F.G.P.INCREMENTO!M14</f>
        <v>2569085.3428795184</v>
      </c>
      <c r="N11" s="559">
        <f>F.G.P.INCREMENTO!N14</f>
        <v>2291937.9709276948</v>
      </c>
      <c r="O11" s="560">
        <f t="shared" si="0"/>
        <v>33040404.650488138</v>
      </c>
      <c r="P11" s="561"/>
      <c r="Q11" s="561"/>
    </row>
    <row r="12" spans="1:17" x14ac:dyDescent="0.2">
      <c r="A12" s="557" t="s">
        <v>151</v>
      </c>
      <c r="B12" s="577"/>
      <c r="C12" s="559">
        <f>F.G.P.INCREMENTO!C15</f>
        <v>1921044.350665774</v>
      </c>
      <c r="D12" s="559">
        <f>F.G.P.INCREMENTO!D15</f>
        <v>3338958.0839898195</v>
      </c>
      <c r="E12" s="559">
        <f>F.G.P.INCREMENTO!E15</f>
        <v>1665784.9693077772</v>
      </c>
      <c r="F12" s="559">
        <f>F.G.P.INCREMENTO!F15</f>
        <v>2324812.7654895419</v>
      </c>
      <c r="G12" s="559">
        <f>F.G.P.INCREMENTO!G15</f>
        <v>3754813.9840337564</v>
      </c>
      <c r="H12" s="559">
        <f>F.G.P.INCREMENTO!H15</f>
        <v>3723484.8974100524</v>
      </c>
      <c r="I12" s="559">
        <f>F.G.P.INCREMENTO!I15</f>
        <v>1949268.5334279973</v>
      </c>
      <c r="J12" s="559">
        <f>F.G.P.INCREMENTO!J15</f>
        <v>2567337.7812045272</v>
      </c>
      <c r="K12" s="559">
        <f>F.G.P.INCREMENTO!K15</f>
        <v>2039833.0593168491</v>
      </c>
      <c r="L12" s="559">
        <f>F.G.P.INCREMENTO!L15</f>
        <v>200951.27345043686</v>
      </c>
      <c r="M12" s="559">
        <f>F.G.P.INCREMENTO!M15</f>
        <v>2141220.9835839751</v>
      </c>
      <c r="N12" s="559">
        <f>F.G.P.INCREMENTO!N15</f>
        <v>1910230.6935910177</v>
      </c>
      <c r="O12" s="560">
        <f t="shared" si="0"/>
        <v>27537741.375471525</v>
      </c>
      <c r="P12" s="561"/>
      <c r="Q12" s="561"/>
    </row>
    <row r="13" spans="1:17" x14ac:dyDescent="0.2">
      <c r="A13" s="557" t="s">
        <v>152</v>
      </c>
      <c r="B13" s="577"/>
      <c r="C13" s="559">
        <f>F.G.P.INCREMENTO!C16</f>
        <v>2055560.7236959033</v>
      </c>
      <c r="D13" s="559">
        <f>F.G.P.INCREMENTO!D16</f>
        <v>3572760.3546153158</v>
      </c>
      <c r="E13" s="559">
        <f>F.G.P.INCREMENTO!E16</f>
        <v>1782427.4363292858</v>
      </c>
      <c r="F13" s="559">
        <f>F.G.P.INCREMENTO!F16</f>
        <v>2487602.021801827</v>
      </c>
      <c r="G13" s="559">
        <f>F.G.P.INCREMENTO!G16</f>
        <v>4017735.5341582941</v>
      </c>
      <c r="H13" s="559">
        <f>F.G.P.INCREMENTO!H16</f>
        <v>3984212.7058328395</v>
      </c>
      <c r="I13" s="559">
        <f>F.G.P.INCREMENTO!I16</f>
        <v>2085761.2349565283</v>
      </c>
      <c r="J13" s="559">
        <f>F.G.P.INCREMENTO!J16</f>
        <v>2747109.2511089914</v>
      </c>
      <c r="K13" s="559">
        <f>F.G.P.INCREMENTO!K16</f>
        <v>2182667.317480207</v>
      </c>
      <c r="L13" s="559">
        <f>F.G.P.INCREMENTO!L16</f>
        <v>215022.38870135247</v>
      </c>
      <c r="M13" s="559">
        <f>F.G.P.INCREMENTO!M16</f>
        <v>2291154.6800485575</v>
      </c>
      <c r="N13" s="559">
        <f>F.G.P.INCREMENTO!N16</f>
        <v>2043989.8670654034</v>
      </c>
      <c r="O13" s="560">
        <f t="shared" si="0"/>
        <v>29466003.515794508</v>
      </c>
      <c r="P13" s="561"/>
      <c r="Q13" s="561"/>
    </row>
    <row r="14" spans="1:17" x14ac:dyDescent="0.2">
      <c r="A14" s="557" t="s">
        <v>153</v>
      </c>
      <c r="B14" s="577"/>
      <c r="C14" s="559">
        <f>F.G.P.INCREMENTO!C17</f>
        <v>2355965.6216996252</v>
      </c>
      <c r="D14" s="559">
        <f>F.G.P.INCREMENTO!D17</f>
        <v>4094892.6845180797</v>
      </c>
      <c r="E14" s="559">
        <f>F.G.P.INCREMENTO!E17</f>
        <v>2042915.9376112102</v>
      </c>
      <c r="F14" s="559">
        <f>F.G.P.INCREMENTO!F17</f>
        <v>2851146.5393724893</v>
      </c>
      <c r="G14" s="559">
        <f>F.G.P.INCREMENTO!G17</f>
        <v>4604897.6741191391</v>
      </c>
      <c r="H14" s="559">
        <f>F.G.P.INCREMENTO!H17</f>
        <v>4566475.7339806324</v>
      </c>
      <c r="I14" s="559">
        <f>F.G.P.INCREMENTO!I17</f>
        <v>2390579.7128658802</v>
      </c>
      <c r="J14" s="559">
        <f>F.G.P.INCREMENTO!J17</f>
        <v>3148578.8184495675</v>
      </c>
      <c r="K14" s="559">
        <f>F.G.P.INCREMENTO!K17</f>
        <v>2501647.897973483</v>
      </c>
      <c r="L14" s="559">
        <f>F.G.P.INCREMENTO!L17</f>
        <v>246446.31016556814</v>
      </c>
      <c r="M14" s="559">
        <f>F.G.P.INCREMENTO!M17</f>
        <v>2625989.8809922771</v>
      </c>
      <c r="N14" s="559">
        <f>F.G.P.INCREMENTO!N17</f>
        <v>2342703.7705069934</v>
      </c>
      <c r="O14" s="560">
        <f t="shared" si="0"/>
        <v>33772240.582254946</v>
      </c>
      <c r="P14" s="561"/>
      <c r="Q14" s="561"/>
    </row>
    <row r="15" spans="1:17" x14ac:dyDescent="0.2">
      <c r="A15" s="557" t="s">
        <v>154</v>
      </c>
      <c r="B15" s="577"/>
      <c r="C15" s="559">
        <f>F.G.P.INCREMENTO!C18</f>
        <v>1987883.8592029025</v>
      </c>
      <c r="D15" s="559">
        <f>F.G.P.INCREMENTO!D18</f>
        <v>3455131.5170928114</v>
      </c>
      <c r="E15" s="559">
        <f>F.G.P.INCREMENTO!E18</f>
        <v>1723743.15681057</v>
      </c>
      <c r="F15" s="559">
        <f>F.G.P.INCREMENTO!F18</f>
        <v>2405700.7172082569</v>
      </c>
      <c r="G15" s="559">
        <f>F.G.P.INCREMENTO!G18</f>
        <v>3885456.4240451884</v>
      </c>
      <c r="H15" s="559">
        <f>F.G.P.INCREMENTO!H18</f>
        <v>3853037.2945226203</v>
      </c>
      <c r="I15" s="559">
        <f>F.G.P.INCREMENTO!I18</f>
        <v>2017090.0549540687</v>
      </c>
      <c r="J15" s="559">
        <f>F.G.P.INCREMENTO!J18</f>
        <v>2656663.9831139427</v>
      </c>
      <c r="K15" s="559">
        <f>F.G.P.INCREMENTO!K18</f>
        <v>2110805.6212648717</v>
      </c>
      <c r="L15" s="559">
        <f>F.G.P.INCREMENTO!L18</f>
        <v>207943.03517248266</v>
      </c>
      <c r="M15" s="559">
        <f>F.G.P.INCREMENTO!M18</f>
        <v>2215721.1679043109</v>
      </c>
      <c r="N15" s="559">
        <f>F.G.P.INCREMENTO!N18</f>
        <v>1976693.959110063</v>
      </c>
      <c r="O15" s="560">
        <f t="shared" si="0"/>
        <v>28495870.790402088</v>
      </c>
      <c r="P15" s="561"/>
      <c r="Q15" s="561"/>
    </row>
    <row r="16" spans="1:17" x14ac:dyDescent="0.2">
      <c r="A16" s="557" t="s">
        <v>155</v>
      </c>
      <c r="B16" s="577"/>
      <c r="C16" s="559">
        <f>F.G.P.INCREMENTO!C19</f>
        <v>2856844.5920788064</v>
      </c>
      <c r="D16" s="559">
        <f>F.G.P.INCREMENTO!D19</f>
        <v>4965468.0497710779</v>
      </c>
      <c r="E16" s="559">
        <f>F.G.P.INCREMENTO!E19</f>
        <v>2477240.4549035011</v>
      </c>
      <c r="F16" s="559">
        <f>F.G.P.INCREMENTO!F19</f>
        <v>3457301.1156055764</v>
      </c>
      <c r="G16" s="559">
        <f>F.G.P.INCREMENTO!G19</f>
        <v>5583900.2471916368</v>
      </c>
      <c r="H16" s="559">
        <f>F.G.P.INCREMENTO!H19</f>
        <v>5537309.7915029489</v>
      </c>
      <c r="I16" s="559">
        <f>F.G.P.INCREMENTO!I19</f>
        <v>2898817.64900597</v>
      </c>
      <c r="J16" s="559">
        <f>F.G.P.INCREMENTO!J19</f>
        <v>3817967.5829617623</v>
      </c>
      <c r="K16" s="559">
        <f>F.G.P.INCREMENTO!K19</f>
        <v>3033498.9622875089</v>
      </c>
      <c r="L16" s="559">
        <f>F.G.P.INCREMENTO!L19</f>
        <v>298840.86675524665</v>
      </c>
      <c r="M16" s="559">
        <f>F.G.P.INCREMENTO!M19</f>
        <v>3184276.0867428868</v>
      </c>
      <c r="N16" s="559">
        <f>F.G.P.INCREMENTO!N19</f>
        <v>2840763.2674993365</v>
      </c>
      <c r="O16" s="560">
        <f t="shared" si="0"/>
        <v>40952228.66630625</v>
      </c>
      <c r="P16" s="561"/>
      <c r="Q16" s="561"/>
    </row>
    <row r="17" spans="1:20" x14ac:dyDescent="0.2">
      <c r="A17" s="557" t="s">
        <v>277</v>
      </c>
      <c r="B17" s="577"/>
      <c r="C17" s="559">
        <f>F.G.P.INCREMENTO!C20</f>
        <v>1745612.7583115371</v>
      </c>
      <c r="D17" s="559">
        <f>F.G.P.INCREMENTO!D20</f>
        <v>3034041.2645132774</v>
      </c>
      <c r="E17" s="559">
        <f>F.G.P.INCREMENTO!E20</f>
        <v>1513663.9057913944</v>
      </c>
      <c r="F17" s="559">
        <f>F.G.P.INCREMENTO!F20</f>
        <v>2112508.6584896483</v>
      </c>
      <c r="G17" s="559">
        <f>F.G.P.INCREMENTO!G20</f>
        <v>3411920.8092953861</v>
      </c>
      <c r="H17" s="559">
        <f>F.G.P.INCREMENTO!H20</f>
        <v>3383452.7245800947</v>
      </c>
      <c r="I17" s="559">
        <f>F.G.P.INCREMENTO!I20</f>
        <v>1771259.4819312072</v>
      </c>
      <c r="J17" s="559">
        <f>F.G.P.INCREMENTO!J20</f>
        <v>2332886.0597167793</v>
      </c>
      <c r="K17" s="559">
        <f>F.G.P.INCREMENTO!K20</f>
        <v>1853553.5694087949</v>
      </c>
      <c r="L17" s="559">
        <f>F.G.P.INCREMENTO!L20</f>
        <v>182600.21254192415</v>
      </c>
      <c r="M17" s="559">
        <f>F.G.P.INCREMENTO!M20</f>
        <v>1945682.6522579661</v>
      </c>
      <c r="N17" s="559">
        <f>F.G.P.INCREMENTO!N20</f>
        <v>1735786.6146583941</v>
      </c>
      <c r="O17" s="560">
        <f t="shared" si="0"/>
        <v>25022968.711496402</v>
      </c>
      <c r="P17" s="561"/>
      <c r="Q17" s="561"/>
    </row>
    <row r="18" spans="1:20" x14ac:dyDescent="0.2">
      <c r="A18" s="557" t="s">
        <v>278</v>
      </c>
      <c r="B18" s="577"/>
      <c r="C18" s="559">
        <f>F.G.P.INCREMENTO!C21</f>
        <v>2177111.8027891545</v>
      </c>
      <c r="D18" s="559">
        <f>F.G.P.INCREMENTO!D21</f>
        <v>3784027.7092786478</v>
      </c>
      <c r="E18" s="559">
        <f>F.G.P.INCREMENTO!E21</f>
        <v>1887827.3769847453</v>
      </c>
      <c r="F18" s="559">
        <f>F.G.P.INCREMENTO!F21</f>
        <v>2634700.9163365024</v>
      </c>
      <c r="G18" s="559">
        <f>F.G.P.INCREMENTO!G21</f>
        <v>4255315.5210001161</v>
      </c>
      <c r="H18" s="559">
        <f>F.G.P.INCREMENTO!H21</f>
        <v>4219810.3936794326</v>
      </c>
      <c r="I18" s="559">
        <f>F.G.P.INCREMENTO!I21</f>
        <v>2209098.1551054968</v>
      </c>
      <c r="J18" s="559">
        <f>F.G.P.INCREMENTO!J21</f>
        <v>2909553.5369965774</v>
      </c>
      <c r="K18" s="559">
        <f>F.G.P.INCREMENTO!K21</f>
        <v>2311734.5664711641</v>
      </c>
      <c r="L18" s="559">
        <f>F.G.P.INCREMENTO!L21</f>
        <v>227737.26648363707</v>
      </c>
      <c r="M18" s="559">
        <f>F.G.P.INCREMENTO!M21</f>
        <v>2426637.091499154</v>
      </c>
      <c r="N18" s="559">
        <f>F.G.P.INCREMENTO!N21</f>
        <v>2164856.7289067595</v>
      </c>
      <c r="O18" s="560">
        <f t="shared" si="0"/>
        <v>31208411.065531388</v>
      </c>
      <c r="P18" s="561"/>
      <c r="Q18" s="561"/>
    </row>
    <row r="19" spans="1:20" x14ac:dyDescent="0.2">
      <c r="A19" s="557" t="s">
        <v>279</v>
      </c>
      <c r="B19" s="577"/>
      <c r="C19" s="559">
        <f>F.G.P.INCREMENTO!C22</f>
        <v>4420346.9438220924</v>
      </c>
      <c r="D19" s="559">
        <f>F.G.P.INCREMENTO!D22</f>
        <v>7682984.0794666372</v>
      </c>
      <c r="E19" s="559">
        <f>F.G.P.INCREMENTO!E22</f>
        <v>3832991.9325352926</v>
      </c>
      <c r="F19" s="559">
        <f>F.G.P.INCREMENTO!F22</f>
        <v>5349423.0881909495</v>
      </c>
      <c r="G19" s="559">
        <f>F.G.P.INCREMENTO!G22</f>
        <v>8639873.6776648946</v>
      </c>
      <c r="H19" s="559">
        <f>F.G.P.INCREMENTO!H22</f>
        <v>8567785.0596890338</v>
      </c>
      <c r="I19" s="559">
        <f>F.G.P.INCREMENTO!I22</f>
        <v>4485291.139395522</v>
      </c>
      <c r="J19" s="559">
        <f>F.G.P.INCREMENTO!J22</f>
        <v>5907476.1657498321</v>
      </c>
      <c r="K19" s="559">
        <f>F.G.P.INCREMENTO!K22</f>
        <v>4693681.2398597524</v>
      </c>
      <c r="L19" s="559">
        <f>F.G.P.INCREMENTO!L22</f>
        <v>462391.3795357967</v>
      </c>
      <c r="M19" s="559">
        <f>F.G.P.INCREMENTO!M22</f>
        <v>4926976.1146081332</v>
      </c>
      <c r="N19" s="559">
        <f>F.G.P.INCREMENTO!N22</f>
        <v>4395464.5843984941</v>
      </c>
      <c r="O19" s="560">
        <f t="shared" si="0"/>
        <v>63364685.404916421</v>
      </c>
      <c r="P19" s="561"/>
      <c r="Q19" s="561"/>
    </row>
    <row r="20" spans="1:20" x14ac:dyDescent="0.2">
      <c r="A20" s="557" t="s">
        <v>159</v>
      </c>
      <c r="B20" s="577"/>
      <c r="C20" s="559">
        <f>F.G.P.INCREMENTO!C23</f>
        <v>3006043.2840324123</v>
      </c>
      <c r="D20" s="559">
        <f>F.G.P.INCREMENTO!D23</f>
        <v>5224789.589352686</v>
      </c>
      <c r="E20" s="559">
        <f>F.G.P.INCREMENTO!E23</f>
        <v>2606614.3230344295</v>
      </c>
      <c r="F20" s="559">
        <f>F.G.P.INCREMENTO!F23</f>
        <v>3637858.6459550839</v>
      </c>
      <c r="G20" s="559">
        <f>F.G.P.INCREMENTO!G23</f>
        <v>5875519.4046321157</v>
      </c>
      <c r="H20" s="559">
        <f>F.G.P.INCREMENTO!H23</f>
        <v>5826495.7626701714</v>
      </c>
      <c r="I20" s="559">
        <f>F.G.P.INCREMENTO!I23</f>
        <v>3050208.3836097755</v>
      </c>
      <c r="J20" s="559">
        <f>F.G.P.INCREMENTO!J23</f>
        <v>4017360.9174394589</v>
      </c>
      <c r="K20" s="559">
        <f>F.G.P.INCREMENTO!K23</f>
        <v>3191923.4276822414</v>
      </c>
      <c r="L20" s="559">
        <f>F.G.P.INCREMENTO!L23</f>
        <v>314447.82925708889</v>
      </c>
      <c r="M20" s="559">
        <f>F.G.P.INCREMENTO!M23</f>
        <v>3350574.8865720667</v>
      </c>
      <c r="N20" s="559">
        <f>F.G.P.INCREMENTO!N23</f>
        <v>2989122.1123717292</v>
      </c>
      <c r="O20" s="560">
        <f t="shared" si="0"/>
        <v>43090958.566609263</v>
      </c>
      <c r="P20" s="561"/>
      <c r="Q20" s="561"/>
    </row>
    <row r="21" spans="1:20" x14ac:dyDescent="0.2">
      <c r="A21" s="557" t="s">
        <v>160</v>
      </c>
      <c r="B21" s="577"/>
      <c r="C21" s="559">
        <f>F.G.P.INCREMENTO!C24</f>
        <v>15139314.884200716</v>
      </c>
      <c r="D21" s="559">
        <f>F.G.P.INCREMENTO!D24</f>
        <v>26313571.470200822</v>
      </c>
      <c r="E21" s="559">
        <f>F.G.P.INCREMENTO!E24</f>
        <v>13127673.585973691</v>
      </c>
      <c r="F21" s="559">
        <f>F.G.P.INCREMENTO!F24</f>
        <v>18321322.19714646</v>
      </c>
      <c r="G21" s="559">
        <f>F.G.P.INCREMENTO!G24</f>
        <v>29590837.513036296</v>
      </c>
      <c r="H21" s="559">
        <f>F.G.P.INCREMENTO!H24</f>
        <v>29343940.085985079</v>
      </c>
      <c r="I21" s="559">
        <f>F.G.P.INCREMENTO!I24</f>
        <v>15361743.268031854</v>
      </c>
      <c r="J21" s="559">
        <f>F.G.P.INCREMENTO!J24</f>
        <v>20232606.847567156</v>
      </c>
      <c r="K21" s="559">
        <f>F.G.P.INCREMENTO!K24</f>
        <v>16075461.758859253</v>
      </c>
      <c r="L21" s="559">
        <f>F.G.P.INCREMENTO!L24</f>
        <v>1583651.4154881081</v>
      </c>
      <c r="M21" s="559">
        <f>F.G.P.INCREMENTO!M24</f>
        <v>16874476.997837756</v>
      </c>
      <c r="N21" s="559">
        <f>F.G.P.INCREMENTO!N24</f>
        <v>15054094.905053558</v>
      </c>
      <c r="O21" s="560">
        <f t="shared" si="0"/>
        <v>217018694.92938074</v>
      </c>
      <c r="P21" s="561"/>
      <c r="Q21" s="561"/>
      <c r="T21" s="561"/>
    </row>
    <row r="22" spans="1:20" x14ac:dyDescent="0.2">
      <c r="A22" s="557" t="s">
        <v>161</v>
      </c>
      <c r="B22" s="577"/>
      <c r="C22" s="559">
        <f>F.G.P.INCREMENTO!C25</f>
        <v>2134092.6972075524</v>
      </c>
      <c r="D22" s="559">
        <f>F.G.P.INCREMENTO!D25</f>
        <v>3709256.4056916581</v>
      </c>
      <c r="E22" s="559">
        <f>F.G.P.INCREMENTO!E25</f>
        <v>1850524.4487904734</v>
      </c>
      <c r="F22" s="559">
        <f>F.G.P.INCREMENTO!F25</f>
        <v>2582639.9809492533</v>
      </c>
      <c r="G22" s="559">
        <f>F.G.P.INCREMENTO!G25</f>
        <v>4171231.7052556006</v>
      </c>
      <c r="H22" s="559">
        <f>F.G.P.INCREMENTO!H25</f>
        <v>4136428.149080202</v>
      </c>
      <c r="I22" s="559">
        <f>F.G.P.INCREMENTO!I25</f>
        <v>2165447.0083647296</v>
      </c>
      <c r="J22" s="559">
        <f>F.G.P.INCREMENTO!J25</f>
        <v>2852061.5925576077</v>
      </c>
      <c r="K22" s="559">
        <f>F.G.P.INCREMENTO!K25</f>
        <v>2266055.3536423803</v>
      </c>
      <c r="L22" s="559">
        <f>F.G.P.INCREMENTO!L25</f>
        <v>223237.24333408006</v>
      </c>
      <c r="M22" s="559">
        <f>F.G.P.INCREMENTO!M25</f>
        <v>2378687.4376900597</v>
      </c>
      <c r="N22" s="559">
        <f>F.G.P.INCREMENTO!N25</f>
        <v>2122079.7800745638</v>
      </c>
      <c r="O22" s="560">
        <f t="shared" si="0"/>
        <v>30591741.802638166</v>
      </c>
      <c r="P22" s="561"/>
      <c r="Q22" s="561"/>
      <c r="T22" s="561"/>
    </row>
    <row r="23" spans="1:20" ht="13.5" thickBot="1" x14ac:dyDescent="0.25">
      <c r="A23" s="557" t="s">
        <v>162</v>
      </c>
      <c r="B23" s="577"/>
      <c r="C23" s="559">
        <f>F.G.P.INCREMENTO!C26</f>
        <v>3247880.4373338902</v>
      </c>
      <c r="D23" s="559">
        <f>F.G.P.INCREMENTO!D26</f>
        <v>5645125.5996822799</v>
      </c>
      <c r="E23" s="559">
        <f>F.G.P.INCREMENTO!E26</f>
        <v>2816317.2873882549</v>
      </c>
      <c r="F23" s="559">
        <f>F.G.P.INCREMENTO!F26</f>
        <v>3930525.5492309392</v>
      </c>
      <c r="G23" s="559">
        <f>F.G.P.INCREMENTO!G26</f>
        <v>6348206.8388189431</v>
      </c>
      <c r="H23" s="559">
        <f>F.G.P.INCREMENTO!H26</f>
        <v>6295239.2290240936</v>
      </c>
      <c r="I23" s="559">
        <f>F.G.P.INCREMENTO!I26</f>
        <v>3295598.63343977</v>
      </c>
      <c r="J23" s="559">
        <f>F.G.P.INCREMENTO!J26</f>
        <v>4340558.9010542873</v>
      </c>
      <c r="K23" s="559">
        <f>F.G.P.INCREMENTO!K26</f>
        <v>3448714.6985888542</v>
      </c>
      <c r="L23" s="559">
        <f>F.G.P.INCREMENTO!L26</f>
        <v>339745.25870306609</v>
      </c>
      <c r="M23" s="559">
        <f>F.G.P.INCREMENTO!M26</f>
        <v>3620129.718598655</v>
      </c>
      <c r="N23" s="559">
        <f>F.G.P.INCREMENTO!N26</f>
        <v>3229597.9519467275</v>
      </c>
      <c r="O23" s="560">
        <f t="shared" si="0"/>
        <v>46557640.103809766</v>
      </c>
      <c r="P23" s="561"/>
      <c r="Q23" s="561"/>
      <c r="T23" s="561"/>
    </row>
    <row r="24" spans="1:20" ht="13.5" thickBot="1" x14ac:dyDescent="0.25">
      <c r="A24" s="562" t="s">
        <v>280</v>
      </c>
      <c r="B24" s="578">
        <f>SUM(B4:B23)</f>
        <v>0</v>
      </c>
      <c r="C24" s="564">
        <f>SUM(C4:C23)</f>
        <v>67222624.950000033</v>
      </c>
      <c r="D24" s="564">
        <f t="shared" ref="D24:N24" si="1">SUM(D4:D23)</f>
        <v>116839325.92499997</v>
      </c>
      <c r="E24" s="564">
        <f t="shared" si="1"/>
        <v>58290397.199999981</v>
      </c>
      <c r="F24" s="564">
        <f t="shared" si="1"/>
        <v>81351592.200000003</v>
      </c>
      <c r="G24" s="564">
        <f t="shared" si="1"/>
        <v>131391267.52499999</v>
      </c>
      <c r="H24" s="564">
        <f t="shared" si="1"/>
        <v>130294976.62499999</v>
      </c>
      <c r="I24" s="564">
        <f t="shared" si="1"/>
        <v>68210266.724999994</v>
      </c>
      <c r="J24" s="564">
        <f t="shared" si="1"/>
        <v>89838209.475000009</v>
      </c>
      <c r="K24" s="564">
        <f t="shared" si="1"/>
        <v>71379368.549999997</v>
      </c>
      <c r="L24" s="564">
        <f t="shared" si="1"/>
        <v>7031837.700000003</v>
      </c>
      <c r="M24" s="564">
        <f t="shared" si="1"/>
        <v>74927210.849999964</v>
      </c>
      <c r="N24" s="564">
        <f t="shared" si="1"/>
        <v>66844225.349999994</v>
      </c>
      <c r="O24" s="564">
        <f>SUM(C24:N24)</f>
        <v>963621303.07499993</v>
      </c>
      <c r="P24" s="561"/>
      <c r="Q24" s="561"/>
      <c r="T24" s="561"/>
    </row>
    <row r="25" spans="1:20" x14ac:dyDescent="0.2">
      <c r="A25" s="565"/>
      <c r="B25" s="565"/>
      <c r="C25" s="565"/>
      <c r="D25" s="565"/>
      <c r="E25" s="565"/>
      <c r="F25" s="565"/>
      <c r="G25" s="565"/>
      <c r="H25" s="565"/>
      <c r="I25" s="565"/>
      <c r="J25" s="565"/>
      <c r="K25" s="565"/>
      <c r="L25" s="565"/>
      <c r="M25" s="565"/>
      <c r="N25" s="565"/>
      <c r="O25" s="565"/>
      <c r="T25" s="561"/>
    </row>
    <row r="26" spans="1:20" x14ac:dyDescent="0.2">
      <c r="A26" s="566" t="s">
        <v>281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I65"/>
  <sheetViews>
    <sheetView zoomScale="80" zoomScaleNormal="80" workbookViewId="0">
      <selection activeCell="B1" sqref="B1:Q1"/>
    </sheetView>
  </sheetViews>
  <sheetFormatPr baseColWidth="10" defaultRowHeight="15" x14ac:dyDescent="0.25"/>
  <cols>
    <col min="1" max="1" width="3.7109375" customWidth="1"/>
    <col min="2" max="2" width="3.5703125" style="84" customWidth="1"/>
    <col min="3" max="3" width="26.42578125" customWidth="1"/>
    <col min="4" max="4" width="15.42578125" style="24" customWidth="1"/>
    <col min="5" max="5" width="13.85546875" customWidth="1"/>
    <col min="6" max="6" width="16.5703125" bestFit="1" customWidth="1"/>
    <col min="7" max="7" width="15.28515625" bestFit="1" customWidth="1"/>
    <col min="8" max="8" width="16.5703125" style="5" bestFit="1" customWidth="1"/>
    <col min="9" max="9" width="16.5703125" customWidth="1"/>
    <col min="10" max="10" width="16.140625" customWidth="1"/>
    <col min="11" max="12" width="18.140625" style="5" customWidth="1"/>
    <col min="13" max="13" width="15.5703125" customWidth="1"/>
    <col min="14" max="14" width="13" bestFit="1" customWidth="1"/>
    <col min="15" max="15" width="18.140625" style="5"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5" width="11.42578125" hidden="1" customWidth="1"/>
    <col min="36" max="40" width="0" hidden="1" customWidth="1"/>
  </cols>
  <sheetData>
    <row r="1" spans="2:34" x14ac:dyDescent="0.25">
      <c r="B1" s="1005" t="s">
        <v>422</v>
      </c>
      <c r="C1" s="1005"/>
      <c r="D1" s="1005"/>
      <c r="E1" s="1005"/>
      <c r="F1" s="1005"/>
      <c r="G1" s="1005"/>
      <c r="H1" s="1005"/>
      <c r="I1" s="1005"/>
      <c r="J1" s="1005"/>
      <c r="K1" s="1005"/>
      <c r="L1" s="1005"/>
      <c r="M1" s="1005"/>
      <c r="N1" s="1005"/>
      <c r="O1" s="1005"/>
      <c r="P1" s="1005"/>
      <c r="Q1" s="1005"/>
    </row>
    <row r="2" spans="2:34" ht="15.75" thickBot="1" x14ac:dyDescent="0.3">
      <c r="C2" s="330"/>
      <c r="D2" s="330"/>
      <c r="E2" s="330"/>
      <c r="F2" s="330"/>
      <c r="G2" s="330"/>
      <c r="H2" s="330"/>
      <c r="I2" s="330"/>
      <c r="J2" s="330"/>
      <c r="K2" s="330"/>
      <c r="L2" s="330"/>
      <c r="M2" s="330"/>
      <c r="N2" s="330"/>
      <c r="O2" s="330"/>
      <c r="P2" s="330"/>
    </row>
    <row r="3" spans="2:34" ht="15" customHeight="1" x14ac:dyDescent="0.25">
      <c r="B3" s="1006" t="s">
        <v>81</v>
      </c>
      <c r="C3" s="1031" t="s">
        <v>227</v>
      </c>
      <c r="D3" s="1034">
        <v>2014</v>
      </c>
      <c r="E3" s="1035"/>
      <c r="F3" s="1034" t="s">
        <v>136</v>
      </c>
      <c r="G3" s="1036"/>
      <c r="H3" s="1035"/>
      <c r="I3" s="1034" t="s">
        <v>137</v>
      </c>
      <c r="J3" s="1036"/>
      <c r="K3" s="1036"/>
      <c r="L3" s="1035"/>
      <c r="M3" s="1034" t="s">
        <v>29</v>
      </c>
      <c r="N3" s="1036"/>
      <c r="O3" s="1035"/>
      <c r="P3" s="87"/>
      <c r="Q3" s="1009" t="s">
        <v>482</v>
      </c>
    </row>
    <row r="4" spans="2:34" ht="15" customHeight="1" x14ac:dyDescent="0.25">
      <c r="B4" s="1007"/>
      <c r="C4" s="1032"/>
      <c r="D4" s="1037" t="s">
        <v>284</v>
      </c>
      <c r="E4" s="1019" t="s">
        <v>285</v>
      </c>
      <c r="F4" s="1019" t="s">
        <v>484</v>
      </c>
      <c r="G4" s="119" t="s">
        <v>141</v>
      </c>
      <c r="H4" s="433" t="s">
        <v>87</v>
      </c>
      <c r="I4" s="1022" t="s">
        <v>485</v>
      </c>
      <c r="J4" s="1023"/>
      <c r="K4" s="435" t="s">
        <v>487</v>
      </c>
      <c r="L4" s="1014" t="s">
        <v>483</v>
      </c>
      <c r="M4" s="1017" t="s">
        <v>253</v>
      </c>
      <c r="N4" s="1018"/>
      <c r="O4" s="438" t="s">
        <v>488</v>
      </c>
      <c r="P4" s="88" t="s">
        <v>86</v>
      </c>
      <c r="Q4" s="1010"/>
    </row>
    <row r="5" spans="2:34" x14ac:dyDescent="0.25">
      <c r="B5" s="1007"/>
      <c r="C5" s="1032"/>
      <c r="D5" s="1038"/>
      <c r="E5" s="1020"/>
      <c r="F5" s="1020"/>
      <c r="G5" s="119"/>
      <c r="H5" s="429" t="s">
        <v>486</v>
      </c>
      <c r="I5" s="1024"/>
      <c r="J5" s="1025"/>
      <c r="K5" s="362" t="s">
        <v>200</v>
      </c>
      <c r="L5" s="1015"/>
      <c r="M5" s="1012">
        <v>2022</v>
      </c>
      <c r="N5" s="1013"/>
      <c r="O5" s="423" t="s">
        <v>254</v>
      </c>
      <c r="P5" s="89" t="s">
        <v>89</v>
      </c>
      <c r="Q5" s="1010"/>
    </row>
    <row r="6" spans="2:34" x14ac:dyDescent="0.25">
      <c r="B6" s="1007"/>
      <c r="C6" s="1032"/>
      <c r="D6" s="1039"/>
      <c r="E6" s="1021"/>
      <c r="F6" s="1021"/>
      <c r="G6" s="431" t="s">
        <v>88</v>
      </c>
      <c r="H6" s="432" t="s">
        <v>90</v>
      </c>
      <c r="I6" s="430" t="s">
        <v>91</v>
      </c>
      <c r="J6" s="434" t="s">
        <v>85</v>
      </c>
      <c r="K6" s="436" t="s">
        <v>90</v>
      </c>
      <c r="L6" s="1016"/>
      <c r="M6" s="439" t="s">
        <v>91</v>
      </c>
      <c r="N6" s="261" t="s">
        <v>85</v>
      </c>
      <c r="O6" s="440" t="s">
        <v>92</v>
      </c>
      <c r="P6" s="91" t="s">
        <v>93</v>
      </c>
      <c r="Q6" s="1011"/>
    </row>
    <row r="7" spans="2:34" ht="15.75" thickBot="1" x14ac:dyDescent="0.3">
      <c r="B7" s="1008"/>
      <c r="C7" s="1033"/>
      <c r="D7" s="92" t="s">
        <v>70</v>
      </c>
      <c r="E7" s="90" t="s">
        <v>94</v>
      </c>
      <c r="F7" s="93" t="s">
        <v>71</v>
      </c>
      <c r="G7" s="94" t="s">
        <v>95</v>
      </c>
      <c r="H7" s="95" t="s">
        <v>96</v>
      </c>
      <c r="I7" s="427" t="s">
        <v>97</v>
      </c>
      <c r="J7" s="428" t="s">
        <v>74</v>
      </c>
      <c r="K7" s="437" t="s">
        <v>98</v>
      </c>
      <c r="L7" s="422" t="s">
        <v>76</v>
      </c>
      <c r="M7" s="427" t="s">
        <v>99</v>
      </c>
      <c r="N7" s="14" t="s">
        <v>78</v>
      </c>
      <c r="O7" s="422" t="s">
        <v>100</v>
      </c>
      <c r="P7" s="96" t="s">
        <v>101</v>
      </c>
      <c r="Q7" s="97" t="s">
        <v>102</v>
      </c>
      <c r="S7" t="s">
        <v>103</v>
      </c>
      <c r="T7" t="s">
        <v>104</v>
      </c>
      <c r="U7" t="s">
        <v>105</v>
      </c>
      <c r="V7" t="s">
        <v>103</v>
      </c>
      <c r="W7" t="s">
        <v>104</v>
      </c>
      <c r="X7" t="s">
        <v>105</v>
      </c>
      <c r="Y7" s="85" t="s">
        <v>106</v>
      </c>
      <c r="Z7" s="85" t="s">
        <v>107</v>
      </c>
      <c r="AA7" s="85" t="s">
        <v>108</v>
      </c>
      <c r="AB7" s="85" t="s">
        <v>107</v>
      </c>
    </row>
    <row r="8" spans="2:34" ht="25.5" customHeight="1" x14ac:dyDescent="0.25">
      <c r="B8" s="453" t="s">
        <v>109</v>
      </c>
      <c r="C8" s="98" t="s">
        <v>45</v>
      </c>
      <c r="D8" s="99">
        <v>3.62</v>
      </c>
      <c r="E8" s="415">
        <v>15655542.292800002</v>
      </c>
      <c r="F8" s="405">
        <f>'CENSO 2020'!C10</f>
        <v>37232</v>
      </c>
      <c r="G8" s="441">
        <f t="shared" ref="G8:G28" si="0">F8/F$28*100</f>
        <v>3.0136241193535018</v>
      </c>
      <c r="H8" s="447">
        <f>((Datos!K$24*0.7)*0.5)*G8%</f>
        <v>1821892.563944001</v>
      </c>
      <c r="I8" s="405">
        <f>'Predial y Agua'!G7</f>
        <v>14028777</v>
      </c>
      <c r="J8" s="441">
        <f>I8/I$28*100</f>
        <v>1.5145741688944119</v>
      </c>
      <c r="K8" s="406">
        <f>((Datos!K$24*0.7)*(0.5))*FFM!J8%</f>
        <v>915638.88081780868</v>
      </c>
      <c r="L8" s="407">
        <f>H8+K8</f>
        <v>2737531.4447618099</v>
      </c>
      <c r="M8" s="405">
        <v>0</v>
      </c>
      <c r="N8" s="441">
        <v>0</v>
      </c>
      <c r="O8" s="442">
        <v>0</v>
      </c>
      <c r="P8" s="102">
        <f>H8+K8+O8</f>
        <v>2737531.4447618099</v>
      </c>
      <c r="Q8" s="100">
        <f>E8+L8+O8</f>
        <v>18393073.737561811</v>
      </c>
      <c r="R8" s="103">
        <f t="shared" ref="R8:R27" si="1">G8+J8</f>
        <v>4.5281982882479141</v>
      </c>
      <c r="S8" s="103">
        <f>R8/2</f>
        <v>2.2640991441239571</v>
      </c>
      <c r="T8" s="103">
        <f>2.480738</f>
        <v>2.4807380000000001</v>
      </c>
      <c r="U8" s="104">
        <f>S8-T8</f>
        <v>-0.21663885587604303</v>
      </c>
      <c r="V8" s="103">
        <f>N8</f>
        <v>0</v>
      </c>
      <c r="X8" s="103">
        <f>V8-W8</f>
        <v>0</v>
      </c>
      <c r="Y8" s="85">
        <v>3.3898570000000001</v>
      </c>
      <c r="Z8" s="105">
        <f>S8-Y8</f>
        <v>-1.125757855876043</v>
      </c>
      <c r="AA8" s="85"/>
      <c r="AB8" s="85"/>
      <c r="AG8" s="103">
        <f>G8+J8</f>
        <v>4.5281982882479141</v>
      </c>
      <c r="AH8" s="103">
        <f>AG8/2</f>
        <v>2.2640991441239571</v>
      </c>
    </row>
    <row r="9" spans="2:34" ht="25.5" customHeight="1" x14ac:dyDescent="0.25">
      <c r="B9" s="449" t="s">
        <v>109</v>
      </c>
      <c r="C9" s="98" t="s">
        <v>46</v>
      </c>
      <c r="D9" s="99">
        <v>2.4700000000000002</v>
      </c>
      <c r="E9" s="403">
        <v>10682096.536800001</v>
      </c>
      <c r="F9" s="410">
        <f>'CENSO 2020'!C11</f>
        <v>15393</v>
      </c>
      <c r="G9" s="383">
        <f t="shared" si="0"/>
        <v>1.2459367229589724</v>
      </c>
      <c r="H9" s="101">
        <f>((Datos!K$24*0.7)*0.5)*G9%</f>
        <v>753233.56888671068</v>
      </c>
      <c r="I9" s="410">
        <f>'Predial y Agua'!G8</f>
        <v>7263911</v>
      </c>
      <c r="J9" s="383">
        <f t="shared" ref="J9:J27" si="2">I9/I$28*100</f>
        <v>0.78422602096732841</v>
      </c>
      <c r="K9" s="152">
        <f>((Datos!K$24*0.7)*(0.5))*FFM!J9%</f>
        <v>474105.42903349077</v>
      </c>
      <c r="L9" s="411">
        <f t="shared" ref="L9:L27" si="3">H9+K9</f>
        <v>1227338.9979202014</v>
      </c>
      <c r="M9" s="410">
        <v>0</v>
      </c>
      <c r="N9" s="383">
        <v>0</v>
      </c>
      <c r="O9" s="443">
        <v>0</v>
      </c>
      <c r="P9" s="102">
        <f t="shared" ref="P9:P27" si="4">H9+K9+O9</f>
        <v>1227338.9979202014</v>
      </c>
      <c r="Q9" s="100">
        <f t="shared" ref="Q9:Q27" si="5">E9+L9+O9</f>
        <v>11909435.534720203</v>
      </c>
      <c r="R9" s="103">
        <f t="shared" si="1"/>
        <v>2.0301627439263008</v>
      </c>
      <c r="S9" s="103">
        <f t="shared" ref="S9:S28" si="6">R9/2</f>
        <v>1.0150813719631504</v>
      </c>
      <c r="T9" s="103">
        <v>1.0658129999999999</v>
      </c>
      <c r="U9" s="104">
        <f t="shared" ref="U9:U27" si="7">S9-T9</f>
        <v>-5.0731628036849497E-2</v>
      </c>
      <c r="V9" s="103">
        <f t="shared" ref="V9:V27" si="8">N9</f>
        <v>0</v>
      </c>
      <c r="X9" s="103">
        <f t="shared" ref="X9:X27" si="9">V9-W9</f>
        <v>0</v>
      </c>
      <c r="Y9" s="85">
        <v>1.4561059999999999</v>
      </c>
      <c r="Z9" s="105">
        <f t="shared" ref="Z9:Z27" si="10">S9-Y9</f>
        <v>-0.4410246280368495</v>
      </c>
      <c r="AA9" s="85"/>
      <c r="AB9" s="85"/>
      <c r="AG9" s="103">
        <f t="shared" ref="AG9:AG28" si="11">G9+J9</f>
        <v>2.0301627439263008</v>
      </c>
      <c r="AH9" s="103">
        <f t="shared" ref="AH9:AH28" si="12">AG9/2</f>
        <v>1.0150813719631504</v>
      </c>
    </row>
    <row r="10" spans="2:34" ht="25.5" customHeight="1" x14ac:dyDescent="0.25">
      <c r="B10" s="449" t="s">
        <v>109</v>
      </c>
      <c r="C10" s="98" t="s">
        <v>47</v>
      </c>
      <c r="D10" s="99">
        <v>2.33</v>
      </c>
      <c r="E10" s="403">
        <v>10076633.575200001</v>
      </c>
      <c r="F10" s="410">
        <f>'CENSO 2020'!C12</f>
        <v>11536</v>
      </c>
      <c r="G10" s="383">
        <f t="shared" si="0"/>
        <v>0.93374430169912959</v>
      </c>
      <c r="H10" s="101">
        <f>((Datos!K$24*0.7)*0.5)*G10%</f>
        <v>564497.00842441968</v>
      </c>
      <c r="I10" s="410">
        <f>'Predial y Agua'!G9</f>
        <v>4050881</v>
      </c>
      <c r="J10" s="383">
        <f t="shared" si="2"/>
        <v>0.43734102579755624</v>
      </c>
      <c r="K10" s="152">
        <f>((Datos!K$24*0.7)*(0.5))*FFM!J10%</f>
        <v>264395.40276148985</v>
      </c>
      <c r="L10" s="411">
        <f t="shared" si="3"/>
        <v>828892.41118590953</v>
      </c>
      <c r="M10" s="410">
        <v>0</v>
      </c>
      <c r="N10" s="383">
        <v>0</v>
      </c>
      <c r="O10" s="443">
        <v>0</v>
      </c>
      <c r="P10" s="102">
        <f t="shared" si="4"/>
        <v>828892.41118590953</v>
      </c>
      <c r="Q10" s="100">
        <f t="shared" si="5"/>
        <v>10905525.98638591</v>
      </c>
      <c r="R10" s="103">
        <f t="shared" si="1"/>
        <v>1.3710853274966859</v>
      </c>
      <c r="S10" s="103">
        <f t="shared" si="6"/>
        <v>0.68554266374834294</v>
      </c>
      <c r="T10" s="103">
        <v>0.85747200000000001</v>
      </c>
      <c r="U10" s="104">
        <f t="shared" si="7"/>
        <v>-0.17192933625165707</v>
      </c>
      <c r="V10" s="103">
        <f t="shared" si="8"/>
        <v>0</v>
      </c>
      <c r="X10" s="103">
        <f t="shared" si="9"/>
        <v>0</v>
      </c>
      <c r="Y10" s="85">
        <v>1.167629</v>
      </c>
      <c r="Z10" s="105">
        <f t="shared" si="10"/>
        <v>-0.48208633625165709</v>
      </c>
      <c r="AA10" s="85"/>
      <c r="AB10" s="85"/>
      <c r="AG10" s="103">
        <f t="shared" si="11"/>
        <v>1.3710853274966859</v>
      </c>
      <c r="AH10" s="103">
        <f t="shared" si="12"/>
        <v>0.68554266374834294</v>
      </c>
    </row>
    <row r="11" spans="2:34" ht="25.5" customHeight="1" x14ac:dyDescent="0.25">
      <c r="B11" s="449" t="s">
        <v>109</v>
      </c>
      <c r="C11" s="98" t="s">
        <v>48</v>
      </c>
      <c r="D11" s="99">
        <v>2.81</v>
      </c>
      <c r="E11" s="403">
        <v>12152506.5864</v>
      </c>
      <c r="F11" s="410">
        <f>'CENSO 2020'!C13</f>
        <v>187632</v>
      </c>
      <c r="G11" s="383">
        <f t="shared" si="0"/>
        <v>15.187266887691669</v>
      </c>
      <c r="H11" s="101">
        <f>((Datos!K$24*0.7)*0.5)*G11%</f>
        <v>9181492.9511694461</v>
      </c>
      <c r="I11" s="410">
        <f>'Predial y Agua'!G10</f>
        <v>347694330</v>
      </c>
      <c r="J11" s="383">
        <f t="shared" si="2"/>
        <v>37.53775905690491</v>
      </c>
      <c r="K11" s="152">
        <f>((Datos!K$24*0.7)*(0.5))*FFM!J11%</f>
        <v>22693528.251813952</v>
      </c>
      <c r="L11" s="411">
        <f t="shared" si="3"/>
        <v>31875021.202983398</v>
      </c>
      <c r="M11" s="410">
        <v>0</v>
      </c>
      <c r="N11" s="383">
        <v>0</v>
      </c>
      <c r="O11" s="443">
        <v>0</v>
      </c>
      <c r="P11" s="102">
        <f t="shared" si="4"/>
        <v>31875021.202983398</v>
      </c>
      <c r="Q11" s="100">
        <f t="shared" si="5"/>
        <v>44027527.789383397</v>
      </c>
      <c r="R11" s="103">
        <f t="shared" si="1"/>
        <v>52.725025944596581</v>
      </c>
      <c r="S11" s="103">
        <f t="shared" si="6"/>
        <v>26.36251297229829</v>
      </c>
      <c r="T11" s="103">
        <v>26.514603000000001</v>
      </c>
      <c r="U11" s="104">
        <f t="shared" si="7"/>
        <v>-0.15209002770171054</v>
      </c>
      <c r="V11" s="103">
        <f t="shared" si="8"/>
        <v>0</v>
      </c>
      <c r="X11" s="103">
        <f t="shared" si="9"/>
        <v>0</v>
      </c>
      <c r="Y11" s="85">
        <v>39.874909000000002</v>
      </c>
      <c r="Z11" s="105">
        <f t="shared" si="10"/>
        <v>-13.512396027701712</v>
      </c>
      <c r="AA11" s="85"/>
      <c r="AB11" s="85"/>
      <c r="AG11" s="103">
        <f t="shared" si="11"/>
        <v>52.725025944596581</v>
      </c>
      <c r="AH11" s="103">
        <f t="shared" si="12"/>
        <v>26.36251297229829</v>
      </c>
    </row>
    <row r="12" spans="2:34" ht="25.5" customHeight="1" x14ac:dyDescent="0.25">
      <c r="B12" s="449" t="s">
        <v>109</v>
      </c>
      <c r="C12" s="98" t="s">
        <v>49</v>
      </c>
      <c r="D12" s="99">
        <v>4.6399999999999997</v>
      </c>
      <c r="E12" s="403">
        <v>20066772.441599999</v>
      </c>
      <c r="F12" s="410">
        <f>'CENSO 2020'!C14</f>
        <v>77436</v>
      </c>
      <c r="G12" s="383">
        <f t="shared" si="0"/>
        <v>6.2678071902196431</v>
      </c>
      <c r="H12" s="101">
        <f>((Datos!K$24*0.7)*0.5)*G12%</f>
        <v>3789215.5291568451</v>
      </c>
      <c r="I12" s="410">
        <f>'Predial y Agua'!G11</f>
        <v>69257630</v>
      </c>
      <c r="J12" s="383">
        <f t="shared" si="2"/>
        <v>7.4771890234513441</v>
      </c>
      <c r="K12" s="152">
        <f>((Datos!K$24*0.7)*(0.5))*FFM!J12%</f>
        <v>4520349.7654352821</v>
      </c>
      <c r="L12" s="411">
        <f t="shared" si="3"/>
        <v>8309565.2945921272</v>
      </c>
      <c r="M12" s="410">
        <v>0</v>
      </c>
      <c r="N12" s="383">
        <v>0</v>
      </c>
      <c r="O12" s="443">
        <v>0</v>
      </c>
      <c r="P12" s="102">
        <f t="shared" si="4"/>
        <v>8309565.2945921272</v>
      </c>
      <c r="Q12" s="100">
        <f t="shared" si="5"/>
        <v>28376337.736192126</v>
      </c>
      <c r="R12" s="103">
        <f t="shared" si="1"/>
        <v>13.744996213670987</v>
      </c>
      <c r="S12" s="103">
        <f t="shared" si="6"/>
        <v>6.8724981068354936</v>
      </c>
      <c r="T12" s="103">
        <v>5.371861</v>
      </c>
      <c r="U12" s="104">
        <f t="shared" si="7"/>
        <v>1.5006371068354936</v>
      </c>
      <c r="V12" s="103">
        <f t="shared" si="8"/>
        <v>0</v>
      </c>
      <c r="X12" s="103">
        <f t="shared" si="9"/>
        <v>0</v>
      </c>
      <c r="Y12" s="85">
        <v>7.3199050000000003</v>
      </c>
      <c r="Z12" s="105">
        <f t="shared" si="10"/>
        <v>-0.44740689316450677</v>
      </c>
      <c r="AA12" s="85"/>
      <c r="AB12" s="85"/>
      <c r="AG12" s="103">
        <f t="shared" si="11"/>
        <v>13.744996213670987</v>
      </c>
      <c r="AH12" s="103">
        <f t="shared" si="12"/>
        <v>6.8724981068354936</v>
      </c>
    </row>
    <row r="13" spans="2:34" s="5" customFormat="1" ht="25.5" customHeight="1" x14ac:dyDescent="0.25">
      <c r="B13" s="450" t="s">
        <v>110</v>
      </c>
      <c r="C13" s="106" t="s">
        <v>50</v>
      </c>
      <c r="D13" s="107">
        <v>1.5</v>
      </c>
      <c r="E13" s="426">
        <v>6487103.1600000001</v>
      </c>
      <c r="F13" s="410">
        <f>'CENSO 2020'!C15</f>
        <v>47550</v>
      </c>
      <c r="G13" s="445">
        <f t="shared" si="0"/>
        <v>3.8487813406547868</v>
      </c>
      <c r="H13" s="101">
        <f>((Datos!K$24*0.7)*0.5)*G13%</f>
        <v>2326788.553275066</v>
      </c>
      <c r="I13" s="410">
        <f>'Predial y Agua'!G12</f>
        <v>111898</v>
      </c>
      <c r="J13" s="445">
        <f t="shared" si="2"/>
        <v>1.2080726662840737E-2</v>
      </c>
      <c r="K13" s="152">
        <f>((Datos!K$24*0.7)*(0.5))*FFM!J13%</f>
        <v>7303.4277674918585</v>
      </c>
      <c r="L13" s="426">
        <f t="shared" si="3"/>
        <v>2334091.9810425579</v>
      </c>
      <c r="M13" s="444">
        <f>'FGP 30%'!I41</f>
        <v>30205</v>
      </c>
      <c r="N13" s="445">
        <f>M13/M$28*100</f>
        <v>0.37670666953514986</v>
      </c>
      <c r="O13" s="426">
        <f>(Datos!K24-FFM!H28-FFM!K$28)*FFM!N13%</f>
        <v>195204.66848441199</v>
      </c>
      <c r="P13" s="108">
        <f t="shared" si="4"/>
        <v>2529296.64952697</v>
      </c>
      <c r="Q13" s="109">
        <f t="shared" si="5"/>
        <v>9016399.8095269706</v>
      </c>
      <c r="R13" s="74">
        <f t="shared" si="1"/>
        <v>3.8608620673176275</v>
      </c>
      <c r="S13" s="74">
        <f t="shared" si="6"/>
        <v>1.9304310336588137</v>
      </c>
      <c r="T13" s="74">
        <v>1.826878</v>
      </c>
      <c r="U13" s="110">
        <f t="shared" si="7"/>
        <v>0.10355303365881374</v>
      </c>
      <c r="V13" s="74">
        <f t="shared" si="8"/>
        <v>0.37670666953514986</v>
      </c>
      <c r="W13" s="5">
        <v>0.35585699999999998</v>
      </c>
      <c r="X13" s="74">
        <f t="shared" si="9"/>
        <v>2.0849669535149884E-2</v>
      </c>
      <c r="Y13" s="111">
        <v>2.5551330000000001</v>
      </c>
      <c r="Z13" s="112">
        <f t="shared" si="10"/>
        <v>-0.62470196634118635</v>
      </c>
      <c r="AA13" s="111">
        <v>16.147120999999999</v>
      </c>
      <c r="AB13" s="111">
        <f>W13-AA13</f>
        <v>-15.791263999999998</v>
      </c>
      <c r="AG13" s="103">
        <f t="shared" si="11"/>
        <v>3.8608620673176275</v>
      </c>
      <c r="AH13" s="103">
        <f t="shared" si="12"/>
        <v>1.9304310336588137</v>
      </c>
    </row>
    <row r="14" spans="2:34" s="5" customFormat="1" ht="25.5" customHeight="1" x14ac:dyDescent="0.25">
      <c r="B14" s="450" t="s">
        <v>110</v>
      </c>
      <c r="C14" s="106" t="s">
        <v>51</v>
      </c>
      <c r="D14" s="107">
        <v>1.53</v>
      </c>
      <c r="E14" s="426">
        <v>6616845.2232000008</v>
      </c>
      <c r="F14" s="410">
        <f>'CENSO 2020'!C16</f>
        <v>12230</v>
      </c>
      <c r="G14" s="445">
        <f t="shared" si="0"/>
        <v>0.98991789266473262</v>
      </c>
      <c r="H14" s="101">
        <f>((Datos!K$24*0.7)*0.5)*G14%</f>
        <v>598456.86659419665</v>
      </c>
      <c r="I14" s="410">
        <f>'Predial y Agua'!G13</f>
        <v>204897</v>
      </c>
      <c r="J14" s="445">
        <f t="shared" si="2"/>
        <v>2.2121080368157416E-2</v>
      </c>
      <c r="K14" s="152">
        <f>((Datos!K$24*0.7)*(0.5))*FFM!J14%</f>
        <v>13373.343931757308</v>
      </c>
      <c r="L14" s="426">
        <f t="shared" si="3"/>
        <v>611830.21052595391</v>
      </c>
      <c r="M14" s="444">
        <f>'FGP 30%'!I42</f>
        <v>14333</v>
      </c>
      <c r="N14" s="445">
        <f>M14/M$28*100</f>
        <v>0.17875638783139555</v>
      </c>
      <c r="O14" s="426">
        <f>(Datos!K24-FFM!H28-FFM!K$28)*FFM!N14%</f>
        <v>92629.316781561894</v>
      </c>
      <c r="P14" s="108">
        <f t="shared" si="4"/>
        <v>704459.52730751585</v>
      </c>
      <c r="Q14" s="109">
        <f t="shared" si="5"/>
        <v>7321304.7505075168</v>
      </c>
      <c r="R14" s="74">
        <f t="shared" si="1"/>
        <v>1.01203897303289</v>
      </c>
      <c r="S14" s="74">
        <f t="shared" si="6"/>
        <v>0.50601948651644502</v>
      </c>
      <c r="T14" s="74">
        <v>0.53989200000000004</v>
      </c>
      <c r="U14" s="110">
        <f t="shared" si="7"/>
        <v>-3.3872513483555022E-2</v>
      </c>
      <c r="V14" s="74">
        <f t="shared" si="8"/>
        <v>0.17875638783139555</v>
      </c>
      <c r="W14" s="5">
        <v>0.19699800000000001</v>
      </c>
      <c r="X14" s="74">
        <f t="shared" si="9"/>
        <v>-1.8241612168604454E-2</v>
      </c>
      <c r="Y14" s="111">
        <v>0.75530600000000003</v>
      </c>
      <c r="Z14" s="112">
        <f t="shared" si="10"/>
        <v>-0.24928651348355502</v>
      </c>
      <c r="AA14" s="111">
        <v>4.7731430000000001</v>
      </c>
      <c r="AB14" s="111">
        <f t="shared" ref="AB14:AB26" si="13">W14-AA14</f>
        <v>-4.5761450000000004</v>
      </c>
      <c r="AG14" s="103">
        <f t="shared" si="11"/>
        <v>1.01203897303289</v>
      </c>
      <c r="AH14" s="103">
        <f t="shared" si="12"/>
        <v>0.50601948651644502</v>
      </c>
    </row>
    <row r="15" spans="2:34" s="5" customFormat="1" ht="25.5" customHeight="1" x14ac:dyDescent="0.25">
      <c r="B15" s="451" t="s">
        <v>109</v>
      </c>
      <c r="C15" s="98" t="s">
        <v>52</v>
      </c>
      <c r="D15" s="113">
        <v>3.16</v>
      </c>
      <c r="E15" s="411">
        <v>13666163.990400001</v>
      </c>
      <c r="F15" s="410">
        <f>'CENSO 2020'!C17</f>
        <v>29299</v>
      </c>
      <c r="G15" s="383">
        <f t="shared" si="0"/>
        <v>2.3715130283878989</v>
      </c>
      <c r="H15" s="101">
        <f>((Datos!K$24*0.7)*0.5)*G15%</f>
        <v>1433703.0036257866</v>
      </c>
      <c r="I15" s="410">
        <f>'Predial y Agua'!G14</f>
        <v>14615438</v>
      </c>
      <c r="J15" s="383">
        <f t="shared" si="2"/>
        <v>1.5779112364447596</v>
      </c>
      <c r="K15" s="152">
        <f>((Datos!K$24*0.7)*(0.5))*FFM!J15%</f>
        <v>953929.43326293305</v>
      </c>
      <c r="L15" s="411">
        <f t="shared" si="3"/>
        <v>2387632.4368887199</v>
      </c>
      <c r="M15" s="410">
        <v>0</v>
      </c>
      <c r="N15" s="383">
        <v>0</v>
      </c>
      <c r="O15" s="426">
        <v>0</v>
      </c>
      <c r="P15" s="114">
        <f t="shared" si="4"/>
        <v>2387632.4368887199</v>
      </c>
      <c r="Q15" s="100">
        <f t="shared" si="5"/>
        <v>16053796.427288722</v>
      </c>
      <c r="R15" s="74">
        <f t="shared" si="1"/>
        <v>3.9494242648326585</v>
      </c>
      <c r="S15" s="74">
        <f t="shared" si="6"/>
        <v>1.9747121324163293</v>
      </c>
      <c r="T15" s="74">
        <v>2.598125</v>
      </c>
      <c r="U15" s="110">
        <f t="shared" si="7"/>
        <v>-0.62341286758367076</v>
      </c>
      <c r="V15" s="74">
        <f t="shared" si="8"/>
        <v>0</v>
      </c>
      <c r="X15" s="74">
        <f t="shared" si="9"/>
        <v>0</v>
      </c>
      <c r="Y15" s="111">
        <v>3.512527</v>
      </c>
      <c r="Z15" s="112">
        <f t="shared" si="10"/>
        <v>-1.5378148675836707</v>
      </c>
      <c r="AA15" s="111"/>
      <c r="AB15" s="111">
        <f t="shared" si="13"/>
        <v>0</v>
      </c>
      <c r="AG15" s="103">
        <f t="shared" si="11"/>
        <v>3.9494242648326585</v>
      </c>
      <c r="AH15" s="103">
        <f t="shared" si="12"/>
        <v>1.9747121324163293</v>
      </c>
    </row>
    <row r="16" spans="2:34" s="5" customFormat="1" ht="25.5" customHeight="1" x14ac:dyDescent="0.25">
      <c r="B16" s="451" t="s">
        <v>109</v>
      </c>
      <c r="C16" s="98" t="s">
        <v>53</v>
      </c>
      <c r="D16" s="113">
        <v>2.81</v>
      </c>
      <c r="E16" s="411">
        <v>12152506.5864</v>
      </c>
      <c r="F16" s="410">
        <f>'CENSO 2020'!C18</f>
        <v>19321</v>
      </c>
      <c r="G16" s="383">
        <f t="shared" si="0"/>
        <v>1.563876010153336</v>
      </c>
      <c r="H16" s="101">
        <f>((Datos!K$24*0.7)*0.5)*G16%</f>
        <v>945444.40878711967</v>
      </c>
      <c r="I16" s="410">
        <f>'Predial y Agua'!G15</f>
        <v>4578677</v>
      </c>
      <c r="J16" s="383">
        <f t="shared" si="2"/>
        <v>0.49432291296033559</v>
      </c>
      <c r="K16" s="152">
        <f>((Datos!K$24*0.7)*(0.5))*FFM!J16%</f>
        <v>298843.91803406959</v>
      </c>
      <c r="L16" s="411">
        <f t="shared" si="3"/>
        <v>1244288.3268211894</v>
      </c>
      <c r="M16" s="410">
        <v>0</v>
      </c>
      <c r="N16" s="383">
        <v>0</v>
      </c>
      <c r="O16" s="426">
        <v>0</v>
      </c>
      <c r="P16" s="114">
        <f t="shared" si="4"/>
        <v>1244288.3268211894</v>
      </c>
      <c r="Q16" s="100">
        <f t="shared" si="5"/>
        <v>13396794.91322119</v>
      </c>
      <c r="R16" s="74">
        <f t="shared" si="1"/>
        <v>2.0581989231136717</v>
      </c>
      <c r="S16" s="74">
        <f t="shared" si="6"/>
        <v>1.0290994615568358</v>
      </c>
      <c r="T16" s="74">
        <v>1.1819949999999999</v>
      </c>
      <c r="U16" s="110">
        <f t="shared" si="7"/>
        <v>-0.15289553844316406</v>
      </c>
      <c r="V16" s="74">
        <f t="shared" si="8"/>
        <v>0</v>
      </c>
      <c r="X16" s="74">
        <f t="shared" si="9"/>
        <v>0</v>
      </c>
      <c r="Y16" s="111">
        <v>1.6183019999999999</v>
      </c>
      <c r="Z16" s="112">
        <f t="shared" si="10"/>
        <v>-0.58920253844316406</v>
      </c>
      <c r="AA16" s="111"/>
      <c r="AB16" s="111">
        <f t="shared" si="13"/>
        <v>0</v>
      </c>
      <c r="AG16" s="103">
        <f t="shared" si="11"/>
        <v>2.0581989231136717</v>
      </c>
      <c r="AH16" s="103">
        <f t="shared" si="12"/>
        <v>1.0290994615568358</v>
      </c>
    </row>
    <row r="17" spans="2:34" s="5" customFormat="1" ht="25.5" customHeight="1" x14ac:dyDescent="0.25">
      <c r="B17" s="451" t="s">
        <v>109</v>
      </c>
      <c r="C17" s="98" t="s">
        <v>54</v>
      </c>
      <c r="D17" s="113">
        <v>1.6</v>
      </c>
      <c r="E17" s="411">
        <v>6919576.7039999999</v>
      </c>
      <c r="F17" s="410">
        <f>'CENSO 2020'!C19</f>
        <v>13719</v>
      </c>
      <c r="G17" s="383">
        <f t="shared" si="0"/>
        <v>1.1104401937422297</v>
      </c>
      <c r="H17" s="101">
        <f>((Datos!K$24*0.7)*0.5)*G17%</f>
        <v>671318.86776825727</v>
      </c>
      <c r="I17" s="410">
        <f>'Predial y Agua'!G16</f>
        <v>1103886</v>
      </c>
      <c r="J17" s="383">
        <f t="shared" si="2"/>
        <v>0.1191776889036141</v>
      </c>
      <c r="K17" s="152">
        <f>((Datos!K$24*0.7)*(0.5))*FFM!J17%</f>
        <v>72049.113161499932</v>
      </c>
      <c r="L17" s="411">
        <f t="shared" si="3"/>
        <v>743367.98092975724</v>
      </c>
      <c r="M17" s="410">
        <v>0</v>
      </c>
      <c r="N17" s="383">
        <v>0</v>
      </c>
      <c r="O17" s="426">
        <v>0</v>
      </c>
      <c r="P17" s="114">
        <f t="shared" si="4"/>
        <v>743367.98092975724</v>
      </c>
      <c r="Q17" s="100">
        <f t="shared" si="5"/>
        <v>7662944.6849297574</v>
      </c>
      <c r="R17" s="74">
        <f t="shared" si="1"/>
        <v>1.2296178826458437</v>
      </c>
      <c r="S17" s="74">
        <f t="shared" si="6"/>
        <v>0.61480894132292185</v>
      </c>
      <c r="T17" s="74">
        <v>0.66424499999999997</v>
      </c>
      <c r="U17" s="110">
        <v>9.9999999999999995E-7</v>
      </c>
      <c r="V17" s="74">
        <f t="shared" si="8"/>
        <v>0</v>
      </c>
      <c r="X17" s="74">
        <f t="shared" si="9"/>
        <v>0</v>
      </c>
      <c r="Y17" s="111">
        <v>0.92457</v>
      </c>
      <c r="Z17" s="112">
        <f t="shared" si="10"/>
        <v>-0.30976105867707815</v>
      </c>
      <c r="AA17" s="111"/>
      <c r="AB17" s="111">
        <f t="shared" si="13"/>
        <v>0</v>
      </c>
      <c r="AG17" s="103">
        <f t="shared" si="11"/>
        <v>1.2296178826458437</v>
      </c>
      <c r="AH17" s="103">
        <f t="shared" si="12"/>
        <v>0.61480894132292185</v>
      </c>
    </row>
    <row r="18" spans="2:34" s="5" customFormat="1" ht="25.5" customHeight="1" x14ac:dyDescent="0.25">
      <c r="B18" s="450" t="s">
        <v>110</v>
      </c>
      <c r="C18" s="106" t="s">
        <v>55</v>
      </c>
      <c r="D18" s="107">
        <v>2.84</v>
      </c>
      <c r="E18" s="426">
        <v>12282248.649599999</v>
      </c>
      <c r="F18" s="410">
        <f>'CENSO 2020'!C20</f>
        <v>33567</v>
      </c>
      <c r="G18" s="445">
        <f t="shared" si="0"/>
        <v>2.7169725186489848</v>
      </c>
      <c r="H18" s="101">
        <f>((Datos!K$24*0.7)*0.5)*G18%</f>
        <v>1642551.2380185938</v>
      </c>
      <c r="I18" s="410">
        <f>'Predial y Agua'!G17</f>
        <v>2885897</v>
      </c>
      <c r="J18" s="445">
        <f t="shared" si="2"/>
        <v>0.31156707746440593</v>
      </c>
      <c r="K18" s="152">
        <f>((Datos!K$24*0.7)*(0.5))*FFM!J18%</f>
        <v>188358.50760443846</v>
      </c>
      <c r="L18" s="426">
        <f t="shared" si="3"/>
        <v>1830909.7456230321</v>
      </c>
      <c r="M18" s="444">
        <f>'FGP 30%'!I46</f>
        <v>1583407</v>
      </c>
      <c r="N18" s="445">
        <f>M18/M$28*100</f>
        <v>19.747723141487931</v>
      </c>
      <c r="O18" s="426">
        <f>(Datos!K24-FFM!H28-FFM!K$28)*FFM!N18%</f>
        <v>10233022.297993619</v>
      </c>
      <c r="P18" s="108">
        <f t="shared" si="4"/>
        <v>12063932.043616651</v>
      </c>
      <c r="Q18" s="109">
        <f t="shared" si="5"/>
        <v>24346180.693216652</v>
      </c>
      <c r="R18" s="74">
        <f t="shared" si="1"/>
        <v>3.028539596113391</v>
      </c>
      <c r="S18" s="74">
        <f t="shared" si="6"/>
        <v>1.5142697980566955</v>
      </c>
      <c r="T18" s="74">
        <v>1.606241</v>
      </c>
      <c r="U18" s="110">
        <f t="shared" si="7"/>
        <v>-9.1971201943304548E-2</v>
      </c>
      <c r="V18" s="74">
        <f t="shared" si="8"/>
        <v>19.747723141487931</v>
      </c>
      <c r="W18" s="5">
        <v>16.427489000000001</v>
      </c>
      <c r="X18" s="74">
        <f t="shared" si="9"/>
        <v>3.3202341414879299</v>
      </c>
      <c r="Y18" s="111">
        <v>2.2329530000000002</v>
      </c>
      <c r="Z18" s="112">
        <f t="shared" si="10"/>
        <v>-0.71868320194330471</v>
      </c>
      <c r="AA18" s="111">
        <v>14.111107000000001</v>
      </c>
      <c r="AB18" s="111">
        <f t="shared" si="13"/>
        <v>2.3163820000000008</v>
      </c>
      <c r="AG18" s="103">
        <f t="shared" si="11"/>
        <v>3.028539596113391</v>
      </c>
      <c r="AH18" s="103">
        <f t="shared" si="12"/>
        <v>1.5142697980566955</v>
      </c>
    </row>
    <row r="19" spans="2:34" s="5" customFormat="1" ht="25.5" customHeight="1" x14ac:dyDescent="0.25">
      <c r="B19" s="451" t="s">
        <v>109</v>
      </c>
      <c r="C19" s="98" t="s">
        <v>56</v>
      </c>
      <c r="D19" s="113">
        <v>3.33</v>
      </c>
      <c r="E19" s="411">
        <v>14401369.015200002</v>
      </c>
      <c r="F19" s="410">
        <f>'CENSO 2020'!C21</f>
        <v>24096</v>
      </c>
      <c r="G19" s="383">
        <f t="shared" si="0"/>
        <v>1.9503729796933278</v>
      </c>
      <c r="H19" s="101">
        <f>((Datos!K$24*0.7)*0.5)*G19%</f>
        <v>1179101.934378885</v>
      </c>
      <c r="I19" s="410">
        <f>'Predial y Agua'!G18</f>
        <v>2627199</v>
      </c>
      <c r="J19" s="383">
        <f t="shared" si="2"/>
        <v>0.28363753604075603</v>
      </c>
      <c r="K19" s="152">
        <f>((Datos!K$24*0.7)*(0.5))*FFM!J19%</f>
        <v>171473.64677944954</v>
      </c>
      <c r="L19" s="411">
        <f t="shared" si="3"/>
        <v>1350575.5811583344</v>
      </c>
      <c r="M19" s="410">
        <v>0</v>
      </c>
      <c r="N19" s="383">
        <v>0</v>
      </c>
      <c r="O19" s="426">
        <f>(Datos!K31-FFM!H34-FFM!K$28)*FFM!N19%</f>
        <v>0</v>
      </c>
      <c r="P19" s="114">
        <f t="shared" si="4"/>
        <v>1350575.5811583344</v>
      </c>
      <c r="Q19" s="100">
        <f t="shared" si="5"/>
        <v>15751944.596358337</v>
      </c>
      <c r="R19" s="74">
        <f t="shared" si="1"/>
        <v>2.2340105157340839</v>
      </c>
      <c r="S19" s="74">
        <f t="shared" si="6"/>
        <v>1.117005257867042</v>
      </c>
      <c r="T19" s="74">
        <v>1.225519</v>
      </c>
      <c r="U19" s="110">
        <f t="shared" si="7"/>
        <v>-0.10851374213295806</v>
      </c>
      <c r="V19" s="74">
        <f t="shared" si="8"/>
        <v>0</v>
      </c>
      <c r="X19" s="74">
        <f t="shared" si="9"/>
        <v>0</v>
      </c>
      <c r="Y19" s="111">
        <v>1.699298</v>
      </c>
      <c r="Z19" s="112">
        <f t="shared" si="10"/>
        <v>-0.58229274213295801</v>
      </c>
      <c r="AA19" s="111"/>
      <c r="AB19" s="111">
        <f t="shared" si="13"/>
        <v>0</v>
      </c>
      <c r="AG19" s="103">
        <f t="shared" si="11"/>
        <v>2.2340105157340839</v>
      </c>
      <c r="AH19" s="103">
        <f t="shared" si="12"/>
        <v>1.117005257867042</v>
      </c>
    </row>
    <row r="20" spans="2:34" s="5" customFormat="1" ht="25.5" customHeight="1" x14ac:dyDescent="0.25">
      <c r="B20" s="451" t="s">
        <v>109</v>
      </c>
      <c r="C20" s="98" t="s">
        <v>57</v>
      </c>
      <c r="D20" s="113">
        <v>4.6900000000000004</v>
      </c>
      <c r="E20" s="411">
        <v>20283009.213600002</v>
      </c>
      <c r="F20" s="410">
        <f>'CENSO 2020'!C22</f>
        <v>41518</v>
      </c>
      <c r="G20" s="383">
        <f t="shared" si="0"/>
        <v>3.3605405615416495</v>
      </c>
      <c r="H20" s="101">
        <f>((Datos!K$24*0.7)*0.5)*G20%</f>
        <v>2031621.601574641</v>
      </c>
      <c r="I20" s="410">
        <f>'Predial y Agua'!G19</f>
        <v>8987543</v>
      </c>
      <c r="J20" s="383">
        <f t="shared" si="2"/>
        <v>0.9703126986499101</v>
      </c>
      <c r="K20" s="152">
        <f>((Datos!K$24*0.7)*(0.5))*FFM!J20%</f>
        <v>586604.50685201783</v>
      </c>
      <c r="L20" s="411">
        <f t="shared" si="3"/>
        <v>2618226.1084266589</v>
      </c>
      <c r="M20" s="410">
        <v>0</v>
      </c>
      <c r="N20" s="383">
        <v>0</v>
      </c>
      <c r="O20" s="426">
        <v>0</v>
      </c>
      <c r="P20" s="114">
        <f t="shared" si="4"/>
        <v>2618226.1084266589</v>
      </c>
      <c r="Q20" s="100">
        <f t="shared" si="5"/>
        <v>22901235.322026663</v>
      </c>
      <c r="R20" s="74">
        <f t="shared" si="1"/>
        <v>4.3308532601915593</v>
      </c>
      <c r="S20" s="74">
        <f t="shared" si="6"/>
        <v>2.1654266300957796</v>
      </c>
      <c r="T20" s="74">
        <v>2.2379220000000002</v>
      </c>
      <c r="U20" s="110">
        <f t="shared" si="7"/>
        <v>-7.2495369904220563E-2</v>
      </c>
      <c r="V20" s="74">
        <f t="shared" si="8"/>
        <v>0</v>
      </c>
      <c r="X20" s="74">
        <f t="shared" si="9"/>
        <v>0</v>
      </c>
      <c r="Y20" s="111">
        <v>3.0983839999999998</v>
      </c>
      <c r="Z20" s="112">
        <f t="shared" si="10"/>
        <v>-0.93295736990422018</v>
      </c>
      <c r="AA20" s="111"/>
      <c r="AB20" s="111">
        <f t="shared" si="13"/>
        <v>0</v>
      </c>
      <c r="AG20" s="103">
        <f t="shared" si="11"/>
        <v>4.3308532601915593</v>
      </c>
      <c r="AH20" s="103">
        <f t="shared" si="12"/>
        <v>2.1654266300957796</v>
      </c>
    </row>
    <row r="21" spans="2:34" s="5" customFormat="1" ht="25.5" customHeight="1" x14ac:dyDescent="0.25">
      <c r="B21" s="451" t="s">
        <v>109</v>
      </c>
      <c r="C21" s="98" t="s">
        <v>58</v>
      </c>
      <c r="D21" s="113">
        <v>2.13</v>
      </c>
      <c r="E21" s="411">
        <v>9211686.4871999994</v>
      </c>
      <c r="F21" s="410">
        <f>'CENSO 2020'!C23</f>
        <v>7683</v>
      </c>
      <c r="G21" s="383">
        <f t="shared" si="0"/>
        <v>0.62187564753418989</v>
      </c>
      <c r="H21" s="101">
        <f>((Datos!K$24*0.7)*0.5)*G21%</f>
        <v>375956.1820149807</v>
      </c>
      <c r="I21" s="410">
        <f>'Predial y Agua'!G20</f>
        <v>2290506</v>
      </c>
      <c r="J21" s="383">
        <f t="shared" si="2"/>
        <v>0.24728750206077574</v>
      </c>
      <c r="K21" s="152">
        <f>((Datos!K$24*0.7)*(0.5))*FFM!J21%</f>
        <v>149498.16012803363</v>
      </c>
      <c r="L21" s="411">
        <f t="shared" si="3"/>
        <v>525454.34214301431</v>
      </c>
      <c r="M21" s="410">
        <v>0</v>
      </c>
      <c r="N21" s="383">
        <f>M21/M$28*100</f>
        <v>0</v>
      </c>
      <c r="O21" s="411">
        <f>(Datos!K24-FFM!H28-FFM!K$28)*FFM!N21%</f>
        <v>0</v>
      </c>
      <c r="P21" s="114">
        <f t="shared" si="4"/>
        <v>525454.34214301431</v>
      </c>
      <c r="Q21" s="100">
        <f t="shared" si="5"/>
        <v>9737140.8293430135</v>
      </c>
      <c r="R21" s="74">
        <f t="shared" si="1"/>
        <v>0.86916314959496566</v>
      </c>
      <c r="S21" s="74">
        <f t="shared" si="6"/>
        <v>0.43458157479748283</v>
      </c>
      <c r="T21" s="74">
        <v>0.43209399999999998</v>
      </c>
      <c r="U21" s="110">
        <f t="shared" si="7"/>
        <v>2.4875747974828499E-3</v>
      </c>
      <c r="V21" s="74">
        <f t="shared" si="8"/>
        <v>0</v>
      </c>
      <c r="W21" s="5">
        <v>11.183956</v>
      </c>
      <c r="X21" s="74">
        <f t="shared" si="9"/>
        <v>-11.183956</v>
      </c>
      <c r="Y21" s="111">
        <v>0.59435300000000002</v>
      </c>
      <c r="Z21" s="112">
        <f t="shared" si="10"/>
        <v>-0.15977142520251719</v>
      </c>
      <c r="AA21" s="111">
        <v>3.7560030000000002</v>
      </c>
      <c r="AB21" s="111">
        <f t="shared" si="13"/>
        <v>7.4279530000000005</v>
      </c>
      <c r="AG21" s="103">
        <f t="shared" si="11"/>
        <v>0.86916314959496566</v>
      </c>
      <c r="AH21" s="103">
        <f t="shared" si="12"/>
        <v>0.43458157479748283</v>
      </c>
    </row>
    <row r="22" spans="2:34" s="5" customFormat="1" ht="25.5" customHeight="1" x14ac:dyDescent="0.25">
      <c r="B22" s="451" t="s">
        <v>111</v>
      </c>
      <c r="C22" s="98" t="s">
        <v>59</v>
      </c>
      <c r="D22" s="113">
        <v>2.81</v>
      </c>
      <c r="E22" s="411">
        <v>12152506.5864</v>
      </c>
      <c r="F22" s="410">
        <f>'CENSO 2020'!C24</f>
        <v>24911</v>
      </c>
      <c r="G22" s="383">
        <f t="shared" si="0"/>
        <v>2.0163405252797348</v>
      </c>
      <c r="H22" s="101">
        <f>((Datos!K$24*0.7)*0.5)*G22%</f>
        <v>1218982.7476474273</v>
      </c>
      <c r="I22" s="410">
        <f>'Predial y Agua'!G21</f>
        <v>4665876</v>
      </c>
      <c r="J22" s="383">
        <f t="shared" si="2"/>
        <v>0.50373708733586553</v>
      </c>
      <c r="K22" s="152">
        <f>((Datos!K$24*0.7)*(0.5))*FFM!J22%</f>
        <v>304535.27621649933</v>
      </c>
      <c r="L22" s="411">
        <f t="shared" si="3"/>
        <v>1523518.0238639265</v>
      </c>
      <c r="M22" s="410">
        <v>0</v>
      </c>
      <c r="N22" s="383">
        <v>0</v>
      </c>
      <c r="O22" s="411">
        <v>0</v>
      </c>
      <c r="P22" s="114">
        <f t="shared" si="4"/>
        <v>1523518.0238639265</v>
      </c>
      <c r="Q22" s="100">
        <f t="shared" si="5"/>
        <v>13676024.610263927</v>
      </c>
      <c r="R22" s="74">
        <f t="shared" si="1"/>
        <v>2.5200776126156006</v>
      </c>
      <c r="S22" s="74">
        <f t="shared" si="6"/>
        <v>1.2600388063078003</v>
      </c>
      <c r="T22" s="74">
        <v>1.3994949999999999</v>
      </c>
      <c r="U22" s="110">
        <f t="shared" si="7"/>
        <v>-0.13945619369219964</v>
      </c>
      <c r="V22" s="74">
        <f t="shared" si="8"/>
        <v>0</v>
      </c>
      <c r="X22" s="74">
        <f t="shared" si="9"/>
        <v>0</v>
      </c>
      <c r="Y22" s="111">
        <v>1.921861</v>
      </c>
      <c r="Z22" s="112">
        <f t="shared" si="10"/>
        <v>-0.66182219369219975</v>
      </c>
      <c r="AA22" s="111"/>
      <c r="AB22" s="111">
        <f t="shared" si="13"/>
        <v>0</v>
      </c>
      <c r="AG22" s="103">
        <f t="shared" si="11"/>
        <v>2.5200776126156006</v>
      </c>
      <c r="AH22" s="103">
        <f t="shared" si="12"/>
        <v>1.2600388063078003</v>
      </c>
    </row>
    <row r="23" spans="2:34" s="5" customFormat="1" ht="25.5" customHeight="1" x14ac:dyDescent="0.25">
      <c r="B23" s="450" t="s">
        <v>110</v>
      </c>
      <c r="C23" s="106" t="s">
        <v>60</v>
      </c>
      <c r="D23" s="107">
        <v>8.34</v>
      </c>
      <c r="E23" s="426">
        <v>36068293.569600001</v>
      </c>
      <c r="F23" s="410">
        <f>'CENSO 2020'!C25</f>
        <v>93981</v>
      </c>
      <c r="G23" s="445">
        <f t="shared" si="0"/>
        <v>7.6069888365105687</v>
      </c>
      <c r="H23" s="101">
        <f>((Datos!K$24*0.7)*0.5)*G23%</f>
        <v>4598820.5052648578</v>
      </c>
      <c r="I23" s="410">
        <f>'Predial y Agua'!G22</f>
        <v>26816798</v>
      </c>
      <c r="J23" s="445">
        <f t="shared" si="2"/>
        <v>2.8951938963217767</v>
      </c>
      <c r="K23" s="152">
        <f>((Datos!K$24*0.7)*(0.5))*FFM!J23%</f>
        <v>1750295.3327889699</v>
      </c>
      <c r="L23" s="426">
        <f t="shared" si="3"/>
        <v>6349115.8380538281</v>
      </c>
      <c r="M23" s="444">
        <f>'FGP 30%'!I51</f>
        <v>6029533</v>
      </c>
      <c r="N23" s="445">
        <f>M23/M$28*100</f>
        <v>75.198321313765291</v>
      </c>
      <c r="O23" s="426">
        <f>(Datos!K24-FFM!H28-FFM!K$28)*FFM!N23%</f>
        <v>38966826.365860686</v>
      </c>
      <c r="P23" s="108">
        <f t="shared" si="4"/>
        <v>45315942.203914516</v>
      </c>
      <c r="Q23" s="109">
        <f t="shared" si="5"/>
        <v>81384235.773514509</v>
      </c>
      <c r="R23" s="74">
        <f t="shared" si="1"/>
        <v>10.502182732832345</v>
      </c>
      <c r="S23" s="74">
        <f t="shared" si="6"/>
        <v>5.2510913664161727</v>
      </c>
      <c r="T23" s="74">
        <v>5.5728949999999999</v>
      </c>
      <c r="U23" s="110">
        <f t="shared" si="7"/>
        <v>-0.32180363358382724</v>
      </c>
      <c r="V23" s="74">
        <f t="shared" si="8"/>
        <v>75.198321313765291</v>
      </c>
      <c r="W23" s="5">
        <v>59.916367999999999</v>
      </c>
      <c r="X23" s="74">
        <f t="shared" si="9"/>
        <v>15.281953313765293</v>
      </c>
      <c r="Y23" s="111">
        <v>7.6699279999999996</v>
      </c>
      <c r="Z23" s="112">
        <f t="shared" si="10"/>
        <v>-2.4188366335838269</v>
      </c>
      <c r="AA23" s="111">
        <v>48.469971999999999</v>
      </c>
      <c r="AB23" s="111">
        <f t="shared" si="13"/>
        <v>11.446396</v>
      </c>
      <c r="AG23" s="103">
        <f t="shared" si="11"/>
        <v>10.502182732832345</v>
      </c>
      <c r="AH23" s="103">
        <f t="shared" si="12"/>
        <v>5.2510913664161727</v>
      </c>
    </row>
    <row r="24" spans="2:34" s="5" customFormat="1" ht="25.5" customHeight="1" x14ac:dyDescent="0.25">
      <c r="B24" s="451" t="s">
        <v>109</v>
      </c>
      <c r="C24" s="98" t="s">
        <v>61</v>
      </c>
      <c r="D24" s="113">
        <v>3.5</v>
      </c>
      <c r="E24" s="411">
        <v>15136574.040000001</v>
      </c>
      <c r="F24" s="410">
        <f>'CENSO 2020'!C26</f>
        <v>37135</v>
      </c>
      <c r="G24" s="383">
        <f t="shared" si="0"/>
        <v>3.0057727673021133</v>
      </c>
      <c r="H24" s="101">
        <f>((Datos!K$24*0.7)*0.5)*G24%</f>
        <v>1817146.0131623461</v>
      </c>
      <c r="I24" s="410">
        <f>'Predial y Agua'!G23</f>
        <v>10903968</v>
      </c>
      <c r="J24" s="383">
        <f t="shared" si="2"/>
        <v>1.177213685216556</v>
      </c>
      <c r="K24" s="152">
        <f>((Datos!K$24*0.7)*(0.5))*FFM!J24%</f>
        <v>711686.91725538136</v>
      </c>
      <c r="L24" s="411">
        <f t="shared" si="3"/>
        <v>2528832.9304177277</v>
      </c>
      <c r="M24" s="410">
        <v>0</v>
      </c>
      <c r="N24" s="383">
        <v>0</v>
      </c>
      <c r="O24" s="411">
        <v>0</v>
      </c>
      <c r="P24" s="114">
        <f t="shared" si="4"/>
        <v>2528832.9304177277</v>
      </c>
      <c r="Q24" s="100">
        <f t="shared" si="5"/>
        <v>17665406.970417731</v>
      </c>
      <c r="R24" s="74">
        <f t="shared" si="1"/>
        <v>4.1829864525186693</v>
      </c>
      <c r="S24" s="74">
        <f t="shared" si="6"/>
        <v>2.0914932262593346</v>
      </c>
      <c r="T24" s="74">
        <v>2.767077</v>
      </c>
      <c r="U24" s="110">
        <f t="shared" si="7"/>
        <v>-0.67558377374066536</v>
      </c>
      <c r="V24" s="74">
        <f t="shared" si="8"/>
        <v>0</v>
      </c>
      <c r="X24" s="74">
        <f t="shared" si="9"/>
        <v>0</v>
      </c>
      <c r="Y24" s="111">
        <v>3.7737189999999998</v>
      </c>
      <c r="Z24" s="112">
        <f t="shared" si="10"/>
        <v>-1.6822257737406652</v>
      </c>
      <c r="AA24" s="111"/>
      <c r="AB24" s="111">
        <f t="shared" si="13"/>
        <v>0</v>
      </c>
      <c r="AG24" s="103">
        <f t="shared" si="11"/>
        <v>4.1829864525186693</v>
      </c>
      <c r="AH24" s="103">
        <f t="shared" si="12"/>
        <v>2.0914932262593346</v>
      </c>
    </row>
    <row r="25" spans="2:34" s="5" customFormat="1" ht="25.5" customHeight="1" x14ac:dyDescent="0.25">
      <c r="B25" s="451" t="s">
        <v>109</v>
      </c>
      <c r="C25" s="98" t="s">
        <v>62</v>
      </c>
      <c r="D25" s="113">
        <v>39</v>
      </c>
      <c r="E25" s="411">
        <v>168664682.16</v>
      </c>
      <c r="F25" s="410">
        <f>'CENSO 2020'!C27</f>
        <v>425924</v>
      </c>
      <c r="G25" s="383">
        <f t="shared" si="0"/>
        <v>34.475044032324909</v>
      </c>
      <c r="H25" s="101">
        <f>((Datos!K$24*0.7)*0.5)*G25%</f>
        <v>20841957.681706186</v>
      </c>
      <c r="I25" s="410">
        <f>'Predial y Agua'!G24</f>
        <v>359149165.05000001</v>
      </c>
      <c r="J25" s="383">
        <f t="shared" si="2"/>
        <v>38.774445424909501</v>
      </c>
      <c r="K25" s="152">
        <f>((Datos!K$24*0.7)*(0.5))*FFM!J25%</f>
        <v>23441169.499881022</v>
      </c>
      <c r="L25" s="411">
        <f t="shared" si="3"/>
        <v>44283127.181587204</v>
      </c>
      <c r="M25" s="410">
        <v>0</v>
      </c>
      <c r="N25" s="383">
        <v>0</v>
      </c>
      <c r="O25" s="411">
        <v>0</v>
      </c>
      <c r="P25" s="114">
        <f t="shared" si="4"/>
        <v>44283127.181587204</v>
      </c>
      <c r="Q25" s="100">
        <f t="shared" si="5"/>
        <v>212947809.34158719</v>
      </c>
      <c r="R25" s="74">
        <f t="shared" si="1"/>
        <v>73.249489457234404</v>
      </c>
      <c r="S25" s="74">
        <f t="shared" si="6"/>
        <v>36.624744728617202</v>
      </c>
      <c r="T25" s="74">
        <v>35.053296000000003</v>
      </c>
      <c r="U25" s="110">
        <f t="shared" si="7"/>
        <v>1.5714487286171988</v>
      </c>
      <c r="V25" s="74">
        <f t="shared" si="8"/>
        <v>0</v>
      </c>
      <c r="X25" s="74">
        <f t="shared" si="9"/>
        <v>0</v>
      </c>
      <c r="Y25" s="111">
        <v>47.455587999999999</v>
      </c>
      <c r="Z25" s="112">
        <f t="shared" si="10"/>
        <v>-10.830843271382797</v>
      </c>
      <c r="AA25" s="111"/>
      <c r="AB25" s="111">
        <f t="shared" si="13"/>
        <v>0</v>
      </c>
      <c r="AG25" s="103">
        <f t="shared" si="11"/>
        <v>73.249489457234404</v>
      </c>
      <c r="AH25" s="103">
        <f t="shared" si="12"/>
        <v>36.624744728617202</v>
      </c>
    </row>
    <row r="26" spans="2:34" s="5" customFormat="1" ht="25.5" customHeight="1" x14ac:dyDescent="0.25">
      <c r="B26" s="450" t="s">
        <v>112</v>
      </c>
      <c r="C26" s="106" t="s">
        <v>63</v>
      </c>
      <c r="D26" s="107">
        <v>3.79</v>
      </c>
      <c r="E26" s="426">
        <v>16390747.317600001</v>
      </c>
      <c r="F26" s="410">
        <f>'CENSO 2020'!C28</f>
        <v>30064</v>
      </c>
      <c r="G26" s="445">
        <f t="shared" si="0"/>
        <v>2.4334334852880231</v>
      </c>
      <c r="H26" s="101">
        <f>((Datos!K$24*0.7)*0.5)*G26%</f>
        <v>1471137.1412336819</v>
      </c>
      <c r="I26" s="410">
        <f>'Predial y Agua'!G25</f>
        <v>2159731</v>
      </c>
      <c r="J26" s="445">
        <f t="shared" si="2"/>
        <v>0.23316877760338603</v>
      </c>
      <c r="K26" s="152">
        <f>((Datos!K$24*0.7)*(0.5))*FFM!J26%</f>
        <v>140962.65666690166</v>
      </c>
      <c r="L26" s="426">
        <f t="shared" si="3"/>
        <v>1612099.7979005836</v>
      </c>
      <c r="M26" s="444">
        <f>'FGP 30%'!I54</f>
        <v>360697</v>
      </c>
      <c r="N26" s="445">
        <f>M26/M$28*100</f>
        <v>4.4984924873802328</v>
      </c>
      <c r="O26" s="426">
        <f>(Datos!K24-FFM!H28-FFM!K$28)*FFM!N26%</f>
        <v>2331062.3508797199</v>
      </c>
      <c r="P26" s="108">
        <f t="shared" si="4"/>
        <v>3943162.1487803035</v>
      </c>
      <c r="Q26" s="109">
        <f t="shared" si="5"/>
        <v>20333909.466380306</v>
      </c>
      <c r="R26" s="74">
        <f t="shared" si="1"/>
        <v>2.6666022628914092</v>
      </c>
      <c r="S26" s="74">
        <f t="shared" si="6"/>
        <v>1.3333011314457046</v>
      </c>
      <c r="T26" s="74">
        <v>1.450617</v>
      </c>
      <c r="U26" s="110">
        <f t="shared" si="7"/>
        <v>-0.11731586855429543</v>
      </c>
      <c r="V26" s="74">
        <f t="shared" si="8"/>
        <v>4.4984924873802328</v>
      </c>
      <c r="W26" s="5">
        <v>11.919331</v>
      </c>
      <c r="X26" s="74">
        <f t="shared" si="9"/>
        <v>-7.4208385126197669</v>
      </c>
      <c r="Y26" s="111">
        <v>2.0164080000000002</v>
      </c>
      <c r="Z26" s="112">
        <f t="shared" si="10"/>
        <v>-0.68310686855429559</v>
      </c>
      <c r="AA26" s="111">
        <v>12.742653000000001</v>
      </c>
      <c r="AB26" s="111">
        <f t="shared" si="13"/>
        <v>-0.823322000000001</v>
      </c>
      <c r="AG26" s="103">
        <f t="shared" si="11"/>
        <v>2.6666022628914092</v>
      </c>
      <c r="AH26" s="103">
        <f t="shared" si="12"/>
        <v>1.3333011314457046</v>
      </c>
    </row>
    <row r="27" spans="2:34" s="5" customFormat="1" ht="25.5" customHeight="1" thickBot="1" x14ac:dyDescent="0.3">
      <c r="B27" s="452" t="s">
        <v>109</v>
      </c>
      <c r="C27" s="115" t="s">
        <v>64</v>
      </c>
      <c r="D27" s="113">
        <v>3.1</v>
      </c>
      <c r="E27" s="411">
        <v>13406679.864</v>
      </c>
      <c r="F27" s="410">
        <f>'CENSO 2020'!C29</f>
        <v>65229</v>
      </c>
      <c r="G27" s="383">
        <f t="shared" si="0"/>
        <v>5.2797509583506006</v>
      </c>
      <c r="H27" s="101">
        <f>((Datos!K$24*0.7)*0.5)*G27%</f>
        <v>3191884.1333665461</v>
      </c>
      <c r="I27" s="410">
        <f>'Predial y Agua'!G26</f>
        <v>42855221</v>
      </c>
      <c r="J27" s="383">
        <f t="shared" si="2"/>
        <v>4.6267333730418079</v>
      </c>
      <c r="K27" s="152">
        <f>((Datos!K$24*0.7)*(0.5))*FFM!J27%</f>
        <v>2797101.0298075052</v>
      </c>
      <c r="L27" s="411">
        <f t="shared" si="3"/>
        <v>5988985.1631740518</v>
      </c>
      <c r="M27" s="410">
        <v>0</v>
      </c>
      <c r="N27" s="383">
        <v>0</v>
      </c>
      <c r="O27" s="411">
        <v>0</v>
      </c>
      <c r="P27" s="114">
        <f t="shared" si="4"/>
        <v>5988985.1631740518</v>
      </c>
      <c r="Q27" s="100">
        <f t="shared" si="5"/>
        <v>19395665.027174052</v>
      </c>
      <c r="R27" s="74">
        <f t="shared" si="1"/>
        <v>9.9064843313924094</v>
      </c>
      <c r="S27" s="74">
        <f t="shared" si="6"/>
        <v>4.9532421656962047</v>
      </c>
      <c r="T27" s="74">
        <v>5.1532229999999997</v>
      </c>
      <c r="U27" s="110">
        <f t="shared" si="7"/>
        <v>-0.19998083430379499</v>
      </c>
      <c r="V27" s="74">
        <f t="shared" si="8"/>
        <v>0</v>
      </c>
      <c r="X27" s="74">
        <f t="shared" si="9"/>
        <v>0</v>
      </c>
      <c r="Y27" s="111">
        <v>6.9632639999999997</v>
      </c>
      <c r="Z27" s="112">
        <f t="shared" si="10"/>
        <v>-2.010021834303795</v>
      </c>
      <c r="AA27" s="111"/>
      <c r="AB27" s="111"/>
      <c r="AG27" s="103">
        <f t="shared" si="11"/>
        <v>9.9064843313924094</v>
      </c>
      <c r="AH27" s="103">
        <f t="shared" si="12"/>
        <v>4.9532421656962047</v>
      </c>
    </row>
    <row r="28" spans="2:34" ht="15.75" thickBot="1" x14ac:dyDescent="0.3">
      <c r="B28" s="1040" t="s">
        <v>65</v>
      </c>
      <c r="C28" s="1041"/>
      <c r="D28" s="448">
        <f>SUM(D8:D27)</f>
        <v>100</v>
      </c>
      <c r="E28" s="329">
        <f>SUM(E8:E27)</f>
        <v>432473544.00000006</v>
      </c>
      <c r="F28" s="446">
        <f>SUM(F8:F27)</f>
        <v>1235456</v>
      </c>
      <c r="G28" s="327">
        <f t="shared" si="0"/>
        <v>100</v>
      </c>
      <c r="H28" s="116">
        <f>SUM(H8:H27)</f>
        <v>60455202.499999993</v>
      </c>
      <c r="I28" s="116">
        <f>SUM(I8:I27)</f>
        <v>926252229.04999995</v>
      </c>
      <c r="J28" s="327">
        <f>I28/I$28*100</f>
        <v>100</v>
      </c>
      <c r="K28" s="116">
        <f>SUM(K8:K27)</f>
        <v>60455202.5</v>
      </c>
      <c r="L28" s="329">
        <f>SUM(L8:L27)</f>
        <v>120910404.99999999</v>
      </c>
      <c r="M28" s="446">
        <f>SUM(M8:M27)</f>
        <v>8018175</v>
      </c>
      <c r="N28" s="327">
        <f>SUM(N8:N27)</f>
        <v>100</v>
      </c>
      <c r="O28" s="116">
        <f>(Datos!K24-FFM!H28-FFM!K$28)*FFM!N28%</f>
        <v>51818745</v>
      </c>
      <c r="P28" s="328">
        <f>SUM(P8:P27)</f>
        <v>172729150</v>
      </c>
      <c r="Q28" s="329">
        <f>SUM(Q8:Q27)</f>
        <v>605202694</v>
      </c>
      <c r="R28" s="103">
        <f>SUM(R8:R27)</f>
        <v>200</v>
      </c>
      <c r="S28" s="103">
        <f t="shared" si="6"/>
        <v>100</v>
      </c>
      <c r="T28" s="103">
        <f>SUM(T8:T27)</f>
        <v>100.000001</v>
      </c>
      <c r="U28" s="103">
        <f>SUM(U8:U27)</f>
        <v>4.9436058677073014E-2</v>
      </c>
      <c r="V28" s="103">
        <f>SUM(V8:V27)</f>
        <v>100</v>
      </c>
      <c r="W28" s="103">
        <f t="shared" ref="W28:X28" si="14">SUM(W8:W27)</f>
        <v>99.999999000000003</v>
      </c>
      <c r="X28" s="103">
        <f t="shared" si="14"/>
        <v>1.0000000010279564E-6</v>
      </c>
      <c r="Y28" s="105">
        <f>SUM(Y8:Y27)</f>
        <v>140.00000000000003</v>
      </c>
      <c r="Z28" s="105">
        <f t="shared" ref="Z28:AB28" si="15">SUM(Z8:Z27)</f>
        <v>-39.999999999999993</v>
      </c>
      <c r="AA28" s="105">
        <f t="shared" si="15"/>
        <v>99.999999000000003</v>
      </c>
      <c r="AB28" s="105">
        <f t="shared" si="15"/>
        <v>1.7763568394002505E-15</v>
      </c>
      <c r="AG28" s="103">
        <f t="shared" si="11"/>
        <v>200</v>
      </c>
      <c r="AH28">
        <f t="shared" si="12"/>
        <v>100</v>
      </c>
    </row>
    <row r="29" spans="2:34" x14ac:dyDescent="0.25">
      <c r="B29" s="1042" t="s">
        <v>287</v>
      </c>
      <c r="C29" s="1042"/>
      <c r="D29" s="1042"/>
      <c r="E29" s="1042"/>
      <c r="F29" s="1042"/>
      <c r="G29" s="1042"/>
      <c r="H29" s="1042"/>
      <c r="I29" s="1042"/>
      <c r="J29" s="1042"/>
      <c r="K29" s="1042"/>
      <c r="L29" s="1042"/>
      <c r="M29" s="1042"/>
      <c r="N29" s="1042"/>
      <c r="O29" s="1042"/>
      <c r="P29" s="1042"/>
      <c r="Q29" s="1042"/>
      <c r="R29" s="8"/>
      <c r="S29" s="8"/>
      <c r="T29" s="8"/>
      <c r="U29" s="8"/>
    </row>
    <row r="30" spans="2:34" x14ac:dyDescent="0.25">
      <c r="C30" s="618" t="s">
        <v>286</v>
      </c>
      <c r="D30" s="56"/>
      <c r="E30" s="8"/>
      <c r="F30" s="8"/>
      <c r="G30" s="8"/>
      <c r="H30" s="619"/>
      <c r="I30" s="8"/>
      <c r="J30" s="8"/>
      <c r="K30" s="82"/>
      <c r="L30" s="82"/>
      <c r="M30" s="620"/>
      <c r="N30" s="620"/>
      <c r="O30" s="621"/>
      <c r="P30" s="8"/>
      <c r="Q30" s="8"/>
      <c r="R30" s="8"/>
      <c r="S30" s="8"/>
      <c r="T30" s="8"/>
      <c r="U30" s="8"/>
    </row>
    <row r="31" spans="2:34" ht="27" customHeight="1" x14ac:dyDescent="0.25">
      <c r="C31" s="1043" t="s">
        <v>335</v>
      </c>
      <c r="D31" s="1043"/>
      <c r="E31" s="1043"/>
      <c r="F31" s="1043"/>
      <c r="G31" s="1043"/>
      <c r="H31" s="1043"/>
      <c r="I31" s="1043"/>
      <c r="J31" s="1043"/>
      <c r="K31" s="1043"/>
      <c r="L31" s="1043"/>
      <c r="M31" s="1043"/>
      <c r="N31" s="1043"/>
      <c r="O31" s="1043"/>
      <c r="P31" s="1043"/>
      <c r="Q31" s="1043"/>
      <c r="R31" s="617"/>
      <c r="S31" s="617"/>
      <c r="T31" s="617"/>
      <c r="U31" s="617"/>
    </row>
    <row r="32" spans="2:34" x14ac:dyDescent="0.25">
      <c r="C32" s="1026" t="s">
        <v>337</v>
      </c>
      <c r="D32" s="1026"/>
      <c r="E32" s="1026"/>
      <c r="F32" s="1026"/>
      <c r="G32" s="1026"/>
      <c r="H32" s="1026"/>
      <c r="I32" s="1026"/>
      <c r="J32" s="1026"/>
      <c r="K32" s="1026"/>
      <c r="L32" s="1026"/>
      <c r="M32" s="1026"/>
      <c r="N32" s="1026"/>
      <c r="O32" s="1026"/>
      <c r="P32" s="1026"/>
      <c r="Q32" s="1026"/>
      <c r="R32" s="1026"/>
      <c r="S32" s="1026"/>
      <c r="T32" s="1026"/>
      <c r="U32" s="1026"/>
    </row>
    <row r="33" spans="3:21" ht="15" hidden="1" customHeight="1" x14ac:dyDescent="0.25">
      <c r="C33" s="1026" t="s">
        <v>288</v>
      </c>
      <c r="D33" s="1026"/>
      <c r="E33" s="1026"/>
      <c r="F33" s="1026"/>
      <c r="G33" s="1026"/>
      <c r="H33" s="1026"/>
      <c r="I33" s="1026"/>
      <c r="J33" s="1026"/>
      <c r="K33" s="1026"/>
      <c r="L33" s="1026"/>
      <c r="M33" s="1026"/>
      <c r="N33" s="1026"/>
      <c r="O33" s="1026"/>
      <c r="P33" s="1026"/>
      <c r="Q33" s="1026"/>
      <c r="R33" s="1026"/>
      <c r="S33" s="1026"/>
      <c r="T33" s="1026"/>
      <c r="U33" s="1026"/>
    </row>
    <row r="34" spans="3:21" hidden="1" x14ac:dyDescent="0.25">
      <c r="C34" s="617"/>
      <c r="D34" s="617"/>
      <c r="E34" s="617"/>
      <c r="F34" s="617"/>
      <c r="G34" s="617"/>
      <c r="H34" s="617"/>
      <c r="I34" s="617"/>
      <c r="J34" s="617"/>
      <c r="K34" s="622"/>
      <c r="L34" s="622"/>
      <c r="M34" s="617"/>
      <c r="N34" s="617"/>
      <c r="O34" s="622"/>
      <c r="P34" s="617"/>
      <c r="Q34" s="617"/>
      <c r="R34" s="617"/>
      <c r="S34" s="617"/>
      <c r="T34" s="617"/>
      <c r="U34" s="617"/>
    </row>
    <row r="35" spans="3:21" hidden="1" x14ac:dyDescent="0.25">
      <c r="C35" s="1028" t="s">
        <v>83</v>
      </c>
      <c r="D35" s="623" t="s">
        <v>84</v>
      </c>
      <c r="E35" s="623" t="s">
        <v>20</v>
      </c>
      <c r="F35" s="623" t="s">
        <v>114</v>
      </c>
      <c r="G35" s="624" t="s">
        <v>115</v>
      </c>
      <c r="H35" s="624" t="s">
        <v>82</v>
      </c>
      <c r="I35" s="623" t="s">
        <v>116</v>
      </c>
      <c r="J35" s="623" t="s">
        <v>117</v>
      </c>
      <c r="K35" s="622"/>
      <c r="L35" s="622"/>
      <c r="M35" s="617"/>
      <c r="N35" s="617"/>
      <c r="O35" s="622"/>
      <c r="P35" s="617"/>
      <c r="Q35" s="617"/>
      <c r="R35" s="617"/>
      <c r="S35" s="617"/>
      <c r="T35" s="617"/>
      <c r="U35" s="617"/>
    </row>
    <row r="36" spans="3:21" hidden="1" x14ac:dyDescent="0.25">
      <c r="C36" s="1029"/>
      <c r="D36" s="625" t="s">
        <v>87</v>
      </c>
      <c r="E36" s="625" t="s">
        <v>30</v>
      </c>
      <c r="F36" s="625" t="s">
        <v>118</v>
      </c>
      <c r="G36" s="626" t="s">
        <v>119</v>
      </c>
      <c r="H36" s="626" t="s">
        <v>120</v>
      </c>
      <c r="I36" s="625" t="s">
        <v>121</v>
      </c>
      <c r="J36" s="625" t="s">
        <v>122</v>
      </c>
      <c r="K36" s="622"/>
      <c r="L36" s="622"/>
      <c r="M36" s="617"/>
      <c r="N36" s="617"/>
      <c r="O36" s="622"/>
      <c r="P36" s="617"/>
      <c r="Q36" s="617"/>
      <c r="R36" s="617"/>
      <c r="S36" s="617"/>
      <c r="T36" s="617"/>
      <c r="U36" s="617"/>
    </row>
    <row r="37" spans="3:21" hidden="1" x14ac:dyDescent="0.25">
      <c r="C37" s="1029"/>
      <c r="D37" s="627">
        <v>2014</v>
      </c>
      <c r="E37" s="627" t="s">
        <v>123</v>
      </c>
      <c r="F37" s="627" t="s">
        <v>124</v>
      </c>
      <c r="G37" s="626" t="s">
        <v>125</v>
      </c>
      <c r="H37" s="626" t="s">
        <v>126</v>
      </c>
      <c r="I37" s="625">
        <v>2014</v>
      </c>
      <c r="J37" s="625" t="s">
        <v>127</v>
      </c>
      <c r="K37" s="622"/>
      <c r="L37" s="622"/>
      <c r="M37" s="617"/>
      <c r="N37" s="617"/>
      <c r="O37" s="622"/>
      <c r="P37" s="617"/>
      <c r="Q37" s="617"/>
      <c r="R37" s="617"/>
      <c r="S37" s="617"/>
      <c r="T37" s="617"/>
      <c r="U37" s="617"/>
    </row>
    <row r="38" spans="3:21" hidden="1" x14ac:dyDescent="0.25">
      <c r="C38" s="1030"/>
      <c r="D38" s="628" t="s">
        <v>70</v>
      </c>
      <c r="E38" s="628" t="s">
        <v>94</v>
      </c>
      <c r="F38" s="628" t="s">
        <v>71</v>
      </c>
      <c r="G38" s="628" t="s">
        <v>95</v>
      </c>
      <c r="H38" s="628" t="s">
        <v>73</v>
      </c>
      <c r="I38" s="628" t="s">
        <v>128</v>
      </c>
      <c r="J38" s="628" t="s">
        <v>74</v>
      </c>
      <c r="K38" s="622"/>
      <c r="L38" s="622"/>
      <c r="M38" s="617"/>
      <c r="N38" s="617"/>
      <c r="O38" s="622"/>
      <c r="P38" s="617"/>
      <c r="Q38" s="617"/>
      <c r="R38" s="617"/>
      <c r="S38" s="617"/>
      <c r="T38" s="617"/>
      <c r="U38" s="617"/>
    </row>
    <row r="39" spans="3:21" hidden="1" x14ac:dyDescent="0.25">
      <c r="C39" s="629" t="s">
        <v>45</v>
      </c>
      <c r="D39" s="630">
        <v>3.62</v>
      </c>
      <c r="E39" s="631">
        <f>[1]Datos!K$23*FFM!D39%</f>
        <v>15655542.292800002</v>
      </c>
      <c r="F39" s="632">
        <f>E39*0.7</f>
        <v>10958879.60496</v>
      </c>
      <c r="G39" s="632">
        <f t="shared" ref="G39:G59" si="16">H8+K8</f>
        <v>2737531.4447618099</v>
      </c>
      <c r="H39" s="632">
        <f t="shared" ref="H39:H59" si="17">E39+G39</f>
        <v>18393073.737561811</v>
      </c>
      <c r="I39" s="632">
        <f>F39+G39</f>
        <v>13696411.049721811</v>
      </c>
      <c r="J39" s="633">
        <f>H39-I39</f>
        <v>4696662.6878399998</v>
      </c>
      <c r="K39" s="622"/>
      <c r="L39" s="622"/>
      <c r="M39" s="617"/>
      <c r="N39" s="617"/>
      <c r="O39" s="622"/>
      <c r="P39" s="617"/>
      <c r="Q39" s="617"/>
      <c r="R39" s="617"/>
      <c r="S39" s="617"/>
      <c r="T39" s="617"/>
      <c r="U39" s="617"/>
    </row>
    <row r="40" spans="3:21" hidden="1" x14ac:dyDescent="0.25">
      <c r="C40" s="634" t="s">
        <v>46</v>
      </c>
      <c r="D40" s="635">
        <v>2.4700000000000002</v>
      </c>
      <c r="E40" s="636">
        <f>[1]Datos!K$23*FFM!D40%</f>
        <v>10682096.536800001</v>
      </c>
      <c r="F40" s="632">
        <f t="shared" ref="F40:F59" si="18">E40*0.7</f>
        <v>7477467.5757600004</v>
      </c>
      <c r="G40" s="632">
        <f t="shared" si="16"/>
        <v>1227338.9979202014</v>
      </c>
      <c r="H40" s="632">
        <f t="shared" si="17"/>
        <v>11909435.534720203</v>
      </c>
      <c r="I40" s="632">
        <f t="shared" ref="I40:I58" si="19">F40+G40</f>
        <v>8704806.5736802015</v>
      </c>
      <c r="J40" s="633">
        <f t="shared" ref="J40:J58" si="20">H40-I40</f>
        <v>3204628.9610400014</v>
      </c>
      <c r="K40" s="622"/>
      <c r="L40" s="622"/>
      <c r="M40" s="617"/>
      <c r="N40" s="617"/>
      <c r="O40" s="622"/>
      <c r="P40" s="617"/>
      <c r="Q40" s="617"/>
      <c r="R40" s="617"/>
      <c r="S40" s="617"/>
      <c r="T40" s="617"/>
      <c r="U40" s="617"/>
    </row>
    <row r="41" spans="3:21" hidden="1" x14ac:dyDescent="0.25">
      <c r="C41" s="634" t="s">
        <v>47</v>
      </c>
      <c r="D41" s="635">
        <v>2.33</v>
      </c>
      <c r="E41" s="636">
        <f>[1]Datos!K$23*FFM!D41%</f>
        <v>10076633.575200001</v>
      </c>
      <c r="F41" s="632">
        <f t="shared" si="18"/>
        <v>7053643.5026400005</v>
      </c>
      <c r="G41" s="632">
        <f t="shared" si="16"/>
        <v>828892.41118590953</v>
      </c>
      <c r="H41" s="632">
        <f t="shared" si="17"/>
        <v>10905525.98638591</v>
      </c>
      <c r="I41" s="632">
        <f t="shared" si="19"/>
        <v>7882535.9138259105</v>
      </c>
      <c r="J41" s="633">
        <f t="shared" si="20"/>
        <v>3022990.0725599993</v>
      </c>
      <c r="K41" s="622"/>
      <c r="L41" s="622"/>
      <c r="M41" s="617"/>
      <c r="N41" s="617"/>
      <c r="O41" s="622"/>
      <c r="P41" s="617"/>
      <c r="Q41" s="617"/>
      <c r="R41" s="617"/>
      <c r="S41" s="617"/>
      <c r="T41" s="617"/>
      <c r="U41" s="617"/>
    </row>
    <row r="42" spans="3:21" hidden="1" x14ac:dyDescent="0.25">
      <c r="C42" s="634" t="s">
        <v>48</v>
      </c>
      <c r="D42" s="635">
        <v>2.81</v>
      </c>
      <c r="E42" s="636">
        <f>[1]Datos!K$23*FFM!D42%</f>
        <v>12152506.5864</v>
      </c>
      <c r="F42" s="632">
        <f t="shared" si="18"/>
        <v>8506754.6104799993</v>
      </c>
      <c r="G42" s="632">
        <f t="shared" si="16"/>
        <v>31875021.202983398</v>
      </c>
      <c r="H42" s="632">
        <f t="shared" si="17"/>
        <v>44027527.789383397</v>
      </c>
      <c r="I42" s="632">
        <f t="shared" si="19"/>
        <v>40381775.813463397</v>
      </c>
      <c r="J42" s="633">
        <f t="shared" si="20"/>
        <v>3645751.9759199992</v>
      </c>
      <c r="K42" s="622"/>
      <c r="L42" s="622"/>
      <c r="M42" s="632"/>
      <c r="N42" s="617"/>
      <c r="O42" s="622"/>
      <c r="P42" s="617"/>
      <c r="Q42" s="617"/>
      <c r="R42" s="617"/>
      <c r="S42" s="617"/>
      <c r="T42" s="617"/>
      <c r="U42" s="617"/>
    </row>
    <row r="43" spans="3:21" hidden="1" x14ac:dyDescent="0.25">
      <c r="C43" s="634" t="s">
        <v>49</v>
      </c>
      <c r="D43" s="635">
        <v>4.6399999999999997</v>
      </c>
      <c r="E43" s="636">
        <f>[1]Datos!K$23*FFM!D43%</f>
        <v>20066772.441599999</v>
      </c>
      <c r="F43" s="632">
        <f t="shared" si="18"/>
        <v>14046740.709119998</v>
      </c>
      <c r="G43" s="632">
        <f t="shared" si="16"/>
        <v>8309565.2945921272</v>
      </c>
      <c r="H43" s="632">
        <f t="shared" si="17"/>
        <v>28376337.736192126</v>
      </c>
      <c r="I43" s="632">
        <f t="shared" si="19"/>
        <v>22356306.003712125</v>
      </c>
      <c r="J43" s="633">
        <f t="shared" si="20"/>
        <v>6020031.7324800007</v>
      </c>
      <c r="K43" s="622"/>
      <c r="L43" s="622"/>
      <c r="M43" s="632"/>
      <c r="N43" s="617"/>
      <c r="O43" s="622"/>
      <c r="P43" s="617"/>
      <c r="Q43" s="617"/>
      <c r="R43" s="617"/>
      <c r="S43" s="617"/>
      <c r="T43" s="617"/>
      <c r="U43" s="617"/>
    </row>
    <row r="44" spans="3:21" hidden="1" x14ac:dyDescent="0.25">
      <c r="C44" s="634" t="s">
        <v>50</v>
      </c>
      <c r="D44" s="635">
        <v>1.5</v>
      </c>
      <c r="E44" s="636">
        <f>[1]Datos!K$23*FFM!D44%</f>
        <v>6487103.1600000001</v>
      </c>
      <c r="F44" s="632">
        <f t="shared" si="18"/>
        <v>4540972.2119999994</v>
      </c>
      <c r="G44" s="632">
        <f t="shared" si="16"/>
        <v>2334091.9810425579</v>
      </c>
      <c r="H44" s="632">
        <f t="shared" si="17"/>
        <v>8821195.1410425585</v>
      </c>
      <c r="I44" s="632">
        <f t="shared" si="19"/>
        <v>6875064.1930425577</v>
      </c>
      <c r="J44" s="633">
        <f t="shared" si="20"/>
        <v>1946130.9480000008</v>
      </c>
      <c r="K44" s="622"/>
      <c r="L44" s="622"/>
      <c r="M44" s="632"/>
      <c r="N44" s="617"/>
      <c r="O44" s="622"/>
      <c r="P44" s="617"/>
      <c r="Q44" s="617"/>
      <c r="R44" s="617"/>
      <c r="S44" s="617"/>
      <c r="T44" s="617"/>
      <c r="U44" s="617"/>
    </row>
    <row r="45" spans="3:21" hidden="1" x14ac:dyDescent="0.25">
      <c r="C45" s="634" t="s">
        <v>51</v>
      </c>
      <c r="D45" s="635">
        <v>1.53</v>
      </c>
      <c r="E45" s="636">
        <f>[1]Datos!K$23*FFM!D45%</f>
        <v>6616845.2232000008</v>
      </c>
      <c r="F45" s="632">
        <f t="shared" si="18"/>
        <v>4631791.6562400004</v>
      </c>
      <c r="G45" s="632">
        <f t="shared" si="16"/>
        <v>611830.21052595391</v>
      </c>
      <c r="H45" s="632">
        <f t="shared" si="17"/>
        <v>7228675.433725955</v>
      </c>
      <c r="I45" s="632">
        <f t="shared" si="19"/>
        <v>5243621.8667659545</v>
      </c>
      <c r="J45" s="633">
        <f t="shared" si="20"/>
        <v>1985053.5669600004</v>
      </c>
      <c r="K45" s="622"/>
      <c r="L45" s="622"/>
      <c r="M45" s="617"/>
      <c r="N45" s="617"/>
      <c r="O45" s="622"/>
      <c r="P45" s="617"/>
      <c r="Q45" s="617"/>
      <c r="R45" s="617"/>
      <c r="S45" s="617"/>
      <c r="T45" s="617"/>
      <c r="U45" s="617"/>
    </row>
    <row r="46" spans="3:21" hidden="1" x14ac:dyDescent="0.25">
      <c r="C46" s="634" t="s">
        <v>52</v>
      </c>
      <c r="D46" s="635">
        <v>3.16</v>
      </c>
      <c r="E46" s="636">
        <f>[1]Datos!K$23*FFM!D46%</f>
        <v>13666163.990400001</v>
      </c>
      <c r="F46" s="632">
        <f t="shared" si="18"/>
        <v>9566314.7932799999</v>
      </c>
      <c r="G46" s="632">
        <f t="shared" si="16"/>
        <v>2387632.4368887199</v>
      </c>
      <c r="H46" s="632">
        <f t="shared" si="17"/>
        <v>16053796.427288722</v>
      </c>
      <c r="I46" s="632">
        <f t="shared" si="19"/>
        <v>11953947.230168719</v>
      </c>
      <c r="J46" s="633">
        <f t="shared" si="20"/>
        <v>4099849.1971200034</v>
      </c>
      <c r="K46" s="622"/>
      <c r="L46" s="622"/>
      <c r="M46" s="617"/>
      <c r="N46" s="617"/>
      <c r="O46" s="622"/>
      <c r="P46" s="617"/>
      <c r="Q46" s="617"/>
      <c r="R46" s="617"/>
      <c r="S46" s="617"/>
      <c r="T46" s="617"/>
      <c r="U46" s="617"/>
    </row>
    <row r="47" spans="3:21" hidden="1" x14ac:dyDescent="0.25">
      <c r="C47" s="634" t="s">
        <v>53</v>
      </c>
      <c r="D47" s="635">
        <v>2.81</v>
      </c>
      <c r="E47" s="636">
        <f>[1]Datos!K$23*FFM!D47%</f>
        <v>12152506.5864</v>
      </c>
      <c r="F47" s="632">
        <f t="shared" si="18"/>
        <v>8506754.6104799993</v>
      </c>
      <c r="G47" s="632">
        <f t="shared" si="16"/>
        <v>1244288.3268211894</v>
      </c>
      <c r="H47" s="632">
        <f t="shared" si="17"/>
        <v>13396794.91322119</v>
      </c>
      <c r="I47" s="632">
        <f t="shared" si="19"/>
        <v>9751042.9373011887</v>
      </c>
      <c r="J47" s="633">
        <f t="shared" si="20"/>
        <v>3645751.975920001</v>
      </c>
      <c r="K47" s="622"/>
      <c r="L47" s="622"/>
      <c r="M47" s="617"/>
      <c r="N47" s="617"/>
      <c r="O47" s="622"/>
      <c r="P47" s="617"/>
      <c r="Q47" s="617"/>
      <c r="R47" s="617"/>
      <c r="S47" s="617"/>
      <c r="T47" s="617"/>
      <c r="U47" s="617"/>
    </row>
    <row r="48" spans="3:21" hidden="1" x14ac:dyDescent="0.25">
      <c r="C48" s="634" t="s">
        <v>54</v>
      </c>
      <c r="D48" s="635">
        <v>1.6</v>
      </c>
      <c r="E48" s="636">
        <f>[1]Datos!K$23*FFM!D48%</f>
        <v>6919576.7039999999</v>
      </c>
      <c r="F48" s="632">
        <f t="shared" si="18"/>
        <v>4843703.6927999994</v>
      </c>
      <c r="G48" s="632">
        <f t="shared" si="16"/>
        <v>743367.98092975724</v>
      </c>
      <c r="H48" s="632">
        <f t="shared" si="17"/>
        <v>7662944.6849297574</v>
      </c>
      <c r="I48" s="632">
        <f t="shared" si="19"/>
        <v>5587071.6737297568</v>
      </c>
      <c r="J48" s="633">
        <f t="shared" si="20"/>
        <v>2075873.0112000005</v>
      </c>
      <c r="K48" s="622"/>
      <c r="L48" s="622"/>
      <c r="M48" s="617"/>
      <c r="N48" s="617"/>
      <c r="O48" s="622"/>
      <c r="P48" s="617"/>
      <c r="Q48" s="617"/>
      <c r="R48" s="617"/>
      <c r="S48" s="617"/>
      <c r="T48" s="617"/>
      <c r="U48" s="617"/>
    </row>
    <row r="49" spans="2:21" hidden="1" x14ac:dyDescent="0.25">
      <c r="C49" s="634" t="s">
        <v>55</v>
      </c>
      <c r="D49" s="635">
        <v>2.84</v>
      </c>
      <c r="E49" s="636">
        <f>[1]Datos!K$23*FFM!D49%</f>
        <v>12282248.649599999</v>
      </c>
      <c r="F49" s="632">
        <f t="shared" si="18"/>
        <v>8597574.0547199994</v>
      </c>
      <c r="G49" s="632">
        <f t="shared" si="16"/>
        <v>1830909.7456230321</v>
      </c>
      <c r="H49" s="632">
        <f t="shared" si="17"/>
        <v>14113158.395223031</v>
      </c>
      <c r="I49" s="632">
        <f t="shared" si="19"/>
        <v>10428483.800343031</v>
      </c>
      <c r="J49" s="633">
        <f t="shared" si="20"/>
        <v>3684674.5948799998</v>
      </c>
      <c r="K49" s="622"/>
      <c r="L49" s="622"/>
      <c r="M49" s="617"/>
      <c r="N49" s="617"/>
      <c r="O49" s="622"/>
      <c r="P49" s="617"/>
      <c r="Q49" s="617"/>
      <c r="R49" s="617"/>
      <c r="S49" s="617"/>
      <c r="T49" s="617"/>
      <c r="U49" s="617"/>
    </row>
    <row r="50" spans="2:21" hidden="1" x14ac:dyDescent="0.25">
      <c r="C50" s="634" t="s">
        <v>56</v>
      </c>
      <c r="D50" s="635">
        <v>3.33</v>
      </c>
      <c r="E50" s="636">
        <f>[1]Datos!K$23*FFM!D50%</f>
        <v>14401369.015200002</v>
      </c>
      <c r="F50" s="632">
        <f t="shared" si="18"/>
        <v>10080958.310640002</v>
      </c>
      <c r="G50" s="632">
        <f t="shared" si="16"/>
        <v>1350575.5811583344</v>
      </c>
      <c r="H50" s="632">
        <f t="shared" si="17"/>
        <v>15751944.596358337</v>
      </c>
      <c r="I50" s="632">
        <f t="shared" si="19"/>
        <v>11431533.891798336</v>
      </c>
      <c r="J50" s="633">
        <f t="shared" si="20"/>
        <v>4320410.7045600004</v>
      </c>
      <c r="K50" s="622"/>
      <c r="L50" s="622"/>
      <c r="M50" s="617"/>
      <c r="N50" s="617"/>
      <c r="O50" s="622"/>
      <c r="P50" s="617"/>
      <c r="Q50" s="617"/>
      <c r="R50" s="617"/>
      <c r="S50" s="617"/>
      <c r="T50" s="617"/>
      <c r="U50" s="617"/>
    </row>
    <row r="51" spans="2:21" hidden="1" x14ac:dyDescent="0.25">
      <c r="C51" s="634" t="s">
        <v>57</v>
      </c>
      <c r="D51" s="635">
        <v>4.6900000000000004</v>
      </c>
      <c r="E51" s="636">
        <f>[1]Datos!K$23*FFM!D51%</f>
        <v>20283009.213600002</v>
      </c>
      <c r="F51" s="632">
        <f t="shared" si="18"/>
        <v>14198106.449520001</v>
      </c>
      <c r="G51" s="632">
        <f t="shared" si="16"/>
        <v>2618226.1084266589</v>
      </c>
      <c r="H51" s="632">
        <f t="shared" si="17"/>
        <v>22901235.322026663</v>
      </c>
      <c r="I51" s="632">
        <f t="shared" si="19"/>
        <v>16816332.55794666</v>
      </c>
      <c r="J51" s="633">
        <f t="shared" si="20"/>
        <v>6084902.7640800029</v>
      </c>
      <c r="K51" s="622"/>
      <c r="L51" s="622"/>
      <c r="M51" s="617"/>
      <c r="N51" s="617"/>
      <c r="O51" s="622"/>
      <c r="P51" s="617"/>
      <c r="Q51" s="617"/>
      <c r="R51" s="617"/>
      <c r="S51" s="617"/>
      <c r="T51" s="617"/>
      <c r="U51" s="617"/>
    </row>
    <row r="52" spans="2:21" hidden="1" x14ac:dyDescent="0.25">
      <c r="C52" s="634" t="s">
        <v>58</v>
      </c>
      <c r="D52" s="635">
        <v>2.13</v>
      </c>
      <c r="E52" s="636">
        <f>[1]Datos!K$23*FFM!D52%</f>
        <v>9211686.4871999994</v>
      </c>
      <c r="F52" s="632">
        <f t="shared" si="18"/>
        <v>6448180.5410399996</v>
      </c>
      <c r="G52" s="632">
        <f t="shared" si="16"/>
        <v>525454.34214301431</v>
      </c>
      <c r="H52" s="632">
        <f t="shared" si="17"/>
        <v>9737140.8293430135</v>
      </c>
      <c r="I52" s="632">
        <f t="shared" si="19"/>
        <v>6973634.8831830136</v>
      </c>
      <c r="J52" s="633">
        <f t="shared" si="20"/>
        <v>2763505.9461599998</v>
      </c>
      <c r="K52" s="622"/>
      <c r="L52" s="622"/>
      <c r="M52" s="617"/>
      <c r="N52" s="617"/>
      <c r="O52" s="622"/>
      <c r="P52" s="617"/>
      <c r="Q52" s="617"/>
      <c r="R52" s="617"/>
      <c r="S52" s="617"/>
      <c r="T52" s="617"/>
      <c r="U52" s="617"/>
    </row>
    <row r="53" spans="2:21" hidden="1" x14ac:dyDescent="0.25">
      <c r="C53" s="634" t="s">
        <v>59</v>
      </c>
      <c r="D53" s="635">
        <v>2.81</v>
      </c>
      <c r="E53" s="636">
        <f>[1]Datos!K$23*FFM!D53%</f>
        <v>12152506.5864</v>
      </c>
      <c r="F53" s="632">
        <f t="shared" si="18"/>
        <v>8506754.6104799993</v>
      </c>
      <c r="G53" s="632">
        <f t="shared" si="16"/>
        <v>1523518.0238639265</v>
      </c>
      <c r="H53" s="632">
        <f t="shared" si="17"/>
        <v>13676024.610263927</v>
      </c>
      <c r="I53" s="632">
        <f t="shared" si="19"/>
        <v>10030272.634343926</v>
      </c>
      <c r="J53" s="633">
        <f t="shared" si="20"/>
        <v>3645751.975920001</v>
      </c>
      <c r="K53" s="622"/>
      <c r="L53" s="622"/>
      <c r="M53" s="617"/>
      <c r="N53" s="617"/>
      <c r="O53" s="622"/>
      <c r="P53" s="617"/>
      <c r="Q53" s="617"/>
      <c r="R53" s="617"/>
      <c r="S53" s="617"/>
      <c r="T53" s="617"/>
      <c r="U53" s="617"/>
    </row>
    <row r="54" spans="2:21" hidden="1" x14ac:dyDescent="0.25">
      <c r="C54" s="634" t="s">
        <v>60</v>
      </c>
      <c r="D54" s="635">
        <v>8.34</v>
      </c>
      <c r="E54" s="636">
        <f>[1]Datos!K$23*FFM!D54%</f>
        <v>36068293.569600001</v>
      </c>
      <c r="F54" s="632">
        <f t="shared" si="18"/>
        <v>25247805.498719998</v>
      </c>
      <c r="G54" s="632">
        <f t="shared" si="16"/>
        <v>6349115.8380538281</v>
      </c>
      <c r="H54" s="632">
        <f t="shared" si="17"/>
        <v>42417409.407653831</v>
      </c>
      <c r="I54" s="632">
        <f t="shared" si="19"/>
        <v>31596921.336773828</v>
      </c>
      <c r="J54" s="633">
        <f t="shared" si="20"/>
        <v>10820488.070880003</v>
      </c>
      <c r="K54" s="622"/>
      <c r="L54" s="622"/>
      <c r="M54" s="617"/>
      <c r="N54" s="617"/>
      <c r="O54" s="622"/>
      <c r="P54" s="617"/>
      <c r="Q54" s="617"/>
      <c r="R54" s="617"/>
      <c r="S54" s="617"/>
      <c r="T54" s="617"/>
      <c r="U54" s="617"/>
    </row>
    <row r="55" spans="2:21" hidden="1" x14ac:dyDescent="0.25">
      <c r="C55" s="634" t="s">
        <v>61</v>
      </c>
      <c r="D55" s="635">
        <v>3.5</v>
      </c>
      <c r="E55" s="636">
        <f>[1]Datos!K$23*FFM!D55%</f>
        <v>15136574.040000001</v>
      </c>
      <c r="F55" s="632">
        <f t="shared" si="18"/>
        <v>10595601.828</v>
      </c>
      <c r="G55" s="632">
        <f t="shared" si="16"/>
        <v>2528832.9304177277</v>
      </c>
      <c r="H55" s="632">
        <f t="shared" si="17"/>
        <v>17665406.970417731</v>
      </c>
      <c r="I55" s="632">
        <f t="shared" si="19"/>
        <v>13124434.758417727</v>
      </c>
      <c r="J55" s="633">
        <f t="shared" si="20"/>
        <v>4540972.2120000031</v>
      </c>
      <c r="K55" s="622"/>
      <c r="L55" s="622"/>
      <c r="M55" s="617"/>
      <c r="N55" s="617"/>
      <c r="O55" s="622"/>
      <c r="P55" s="617"/>
      <c r="Q55" s="617"/>
      <c r="R55" s="617"/>
      <c r="S55" s="617"/>
      <c r="T55" s="617"/>
      <c r="U55" s="617"/>
    </row>
    <row r="56" spans="2:21" hidden="1" x14ac:dyDescent="0.25">
      <c r="C56" s="634" t="s">
        <v>62</v>
      </c>
      <c r="D56" s="635">
        <v>39</v>
      </c>
      <c r="E56" s="636">
        <f>[1]Datos!K$23*FFM!D56%</f>
        <v>168664682.16</v>
      </c>
      <c r="F56" s="632">
        <f t="shared" si="18"/>
        <v>118065277.51199999</v>
      </c>
      <c r="G56" s="632">
        <f t="shared" si="16"/>
        <v>44283127.181587204</v>
      </c>
      <c r="H56" s="632">
        <f t="shared" si="17"/>
        <v>212947809.34158719</v>
      </c>
      <c r="I56" s="632">
        <f t="shared" si="19"/>
        <v>162348404.69358718</v>
      </c>
      <c r="J56" s="633">
        <f t="shared" si="20"/>
        <v>50599404.648000002</v>
      </c>
      <c r="K56" s="622"/>
      <c r="L56" s="622"/>
      <c r="M56" s="617"/>
      <c r="N56" s="617"/>
      <c r="O56" s="622"/>
      <c r="P56" s="617"/>
      <c r="Q56" s="617"/>
      <c r="R56" s="617"/>
      <c r="S56" s="617"/>
      <c r="T56" s="617"/>
      <c r="U56" s="617"/>
    </row>
    <row r="57" spans="2:21" hidden="1" x14ac:dyDescent="0.25">
      <c r="C57" s="634" t="s">
        <v>63</v>
      </c>
      <c r="D57" s="635">
        <v>3.79</v>
      </c>
      <c r="E57" s="636">
        <f>[1]Datos!K$23*FFM!D57%</f>
        <v>16390747.317600001</v>
      </c>
      <c r="F57" s="632">
        <f t="shared" si="18"/>
        <v>11473523.12232</v>
      </c>
      <c r="G57" s="632">
        <f t="shared" si="16"/>
        <v>1612099.7979005836</v>
      </c>
      <c r="H57" s="632">
        <f t="shared" si="17"/>
        <v>18002847.115500584</v>
      </c>
      <c r="I57" s="632">
        <f t="shared" si="19"/>
        <v>13085622.920220584</v>
      </c>
      <c r="J57" s="633">
        <f t="shared" si="20"/>
        <v>4917224.1952800006</v>
      </c>
      <c r="K57" s="622"/>
      <c r="L57" s="622"/>
      <c r="M57" s="617"/>
      <c r="N57" s="617"/>
      <c r="O57" s="622"/>
      <c r="P57" s="617"/>
      <c r="Q57" s="617"/>
      <c r="R57" s="617"/>
      <c r="S57" s="617"/>
      <c r="T57" s="617"/>
      <c r="U57" s="617"/>
    </row>
    <row r="58" spans="2:21" hidden="1" x14ac:dyDescent="0.25">
      <c r="C58" s="634" t="s">
        <v>64</v>
      </c>
      <c r="D58" s="635">
        <v>3.1</v>
      </c>
      <c r="E58" s="636">
        <f>[1]Datos!K$23*FFM!D58%</f>
        <v>13406679.864</v>
      </c>
      <c r="F58" s="632">
        <f t="shared" si="18"/>
        <v>9384675.9047999997</v>
      </c>
      <c r="G58" s="632">
        <f t="shared" si="16"/>
        <v>5988985.1631740518</v>
      </c>
      <c r="H58" s="632">
        <f t="shared" si="17"/>
        <v>19395665.027174052</v>
      </c>
      <c r="I58" s="632">
        <f t="shared" si="19"/>
        <v>15373661.067974051</v>
      </c>
      <c r="J58" s="633">
        <f t="shared" si="20"/>
        <v>4022003.9592000004</v>
      </c>
      <c r="K58" s="622"/>
      <c r="L58" s="622"/>
      <c r="M58" s="617"/>
      <c r="N58" s="617"/>
      <c r="O58" s="622"/>
      <c r="P58" s="617"/>
      <c r="Q58" s="617"/>
      <c r="R58" s="617"/>
      <c r="S58" s="617"/>
      <c r="T58" s="617"/>
      <c r="U58" s="617"/>
    </row>
    <row r="59" spans="2:21" hidden="1" x14ac:dyDescent="0.25">
      <c r="C59" s="637" t="s">
        <v>65</v>
      </c>
      <c r="D59" s="638">
        <f>SUM(D39:D58)</f>
        <v>100</v>
      </c>
      <c r="E59" s="639">
        <f>SUM(E39:E58)</f>
        <v>432473544.00000006</v>
      </c>
      <c r="F59" s="639">
        <f t="shared" si="18"/>
        <v>302731480.80000001</v>
      </c>
      <c r="G59" s="639">
        <f t="shared" si="16"/>
        <v>120910405</v>
      </c>
      <c r="H59" s="639">
        <f t="shared" si="17"/>
        <v>553383949</v>
      </c>
      <c r="I59" s="639">
        <f>SUM(I39:I58)</f>
        <v>423641885.79999989</v>
      </c>
      <c r="J59" s="640">
        <v>0</v>
      </c>
      <c r="K59" s="622"/>
      <c r="L59" s="622"/>
      <c r="M59" s="617"/>
      <c r="N59" s="617"/>
      <c r="O59" s="622"/>
      <c r="P59" s="617"/>
      <c r="Q59" s="617"/>
      <c r="R59" s="617"/>
      <c r="S59" s="617"/>
      <c r="T59" s="617"/>
      <c r="U59" s="617"/>
    </row>
    <row r="60" spans="2:21" x14ac:dyDescent="0.25">
      <c r="C60" s="1026" t="s">
        <v>336</v>
      </c>
      <c r="D60" s="1026"/>
      <c r="E60" s="1026"/>
      <c r="F60" s="1026"/>
      <c r="G60" s="1026"/>
      <c r="H60" s="1026"/>
      <c r="I60" s="1026"/>
      <c r="J60" s="1026"/>
      <c r="K60" s="1026"/>
      <c r="L60" s="1026"/>
      <c r="M60" s="1026"/>
      <c r="N60" s="1026"/>
      <c r="O60" s="1026"/>
      <c r="P60" s="1026"/>
      <c r="Q60" s="1026"/>
      <c r="R60" s="1026"/>
      <c r="S60" s="1026"/>
      <c r="T60" s="1026"/>
      <c r="U60" s="1026"/>
    </row>
    <row r="61" spans="2:21" ht="15" customHeight="1" x14ac:dyDescent="0.25">
      <c r="C61" s="1027"/>
      <c r="D61" s="1027"/>
      <c r="E61" s="1027"/>
      <c r="F61" s="1027"/>
      <c r="G61" s="1027"/>
      <c r="H61" s="1027"/>
      <c r="I61" s="1027"/>
      <c r="J61" s="1027"/>
      <c r="K61" s="1027"/>
      <c r="L61" s="1027"/>
      <c r="M61" s="1027"/>
      <c r="N61" s="1027"/>
      <c r="O61" s="1027"/>
      <c r="P61" s="1027"/>
      <c r="Q61" s="1027"/>
      <c r="R61" s="1027"/>
      <c r="S61" s="1027"/>
      <c r="T61" s="1027"/>
      <c r="U61" s="1027"/>
    </row>
    <row r="62" spans="2:21" x14ac:dyDescent="0.25">
      <c r="B62" s="474"/>
      <c r="C62" s="476"/>
      <c r="D62" s="477"/>
      <c r="E62" s="476"/>
      <c r="F62" s="476"/>
      <c r="G62" s="476"/>
      <c r="H62" s="478"/>
      <c r="I62" s="476"/>
      <c r="J62" s="476"/>
      <c r="K62" s="478"/>
      <c r="L62" s="478"/>
      <c r="M62" s="476"/>
      <c r="N62" s="476"/>
      <c r="O62" s="478"/>
      <c r="P62" s="476"/>
      <c r="Q62" s="476"/>
    </row>
    <row r="63" spans="2:21" x14ac:dyDescent="0.25">
      <c r="B63" s="474"/>
      <c r="C63" s="476"/>
      <c r="D63" s="477"/>
      <c r="E63" s="476"/>
      <c r="F63" s="476"/>
      <c r="G63" s="476"/>
      <c r="H63" s="478"/>
      <c r="I63" s="476"/>
      <c r="J63" s="476"/>
      <c r="K63" s="478"/>
      <c r="L63" s="478"/>
      <c r="M63" s="476"/>
      <c r="N63" s="476"/>
      <c r="O63" s="478"/>
      <c r="P63" s="476"/>
      <c r="Q63" s="476"/>
    </row>
    <row r="64" spans="2:21" x14ac:dyDescent="0.25">
      <c r="B64" s="474"/>
      <c r="C64" s="473"/>
      <c r="D64" s="475"/>
      <c r="E64" s="473"/>
      <c r="F64" s="473"/>
      <c r="G64" s="473"/>
      <c r="H64" s="472"/>
      <c r="I64" s="473"/>
      <c r="J64" s="473"/>
      <c r="K64" s="472"/>
      <c r="L64" s="472"/>
      <c r="M64" s="473"/>
      <c r="N64" s="473"/>
      <c r="O64" s="472"/>
      <c r="P64" s="473"/>
      <c r="Q64" s="473"/>
    </row>
    <row r="65" spans="2:17" x14ac:dyDescent="0.25">
      <c r="B65" s="474"/>
      <c r="C65" s="473"/>
      <c r="D65" s="475"/>
      <c r="E65" s="473"/>
      <c r="F65" s="473"/>
      <c r="G65" s="473"/>
      <c r="H65" s="472"/>
      <c r="I65" s="473"/>
      <c r="J65" s="473"/>
      <c r="K65" s="472"/>
      <c r="L65" s="472"/>
      <c r="M65" s="473"/>
      <c r="N65" s="473"/>
      <c r="O65" s="472"/>
      <c r="P65" s="473"/>
      <c r="Q65" s="473"/>
    </row>
  </sheetData>
  <mergeCells count="23">
    <mergeCell ref="C60:U60"/>
    <mergeCell ref="C61:U61"/>
    <mergeCell ref="C35:C38"/>
    <mergeCell ref="C3:C7"/>
    <mergeCell ref="D3:E3"/>
    <mergeCell ref="F3:H3"/>
    <mergeCell ref="D4:D6"/>
    <mergeCell ref="E4:E6"/>
    <mergeCell ref="I3:L3"/>
    <mergeCell ref="B28:C28"/>
    <mergeCell ref="B29:Q29"/>
    <mergeCell ref="C31:Q31"/>
    <mergeCell ref="C32:U32"/>
    <mergeCell ref="C33:U33"/>
    <mergeCell ref="M3:O3"/>
    <mergeCell ref="B1:Q1"/>
    <mergeCell ref="B3:B7"/>
    <mergeCell ref="Q3:Q6"/>
    <mergeCell ref="M5:N5"/>
    <mergeCell ref="L4:L6"/>
    <mergeCell ref="M4:N4"/>
    <mergeCell ref="F4:F6"/>
    <mergeCell ref="I4:J5"/>
  </mergeCells>
  <pageMargins left="0.70866141732283472" right="0.70866141732283472" top="0.74803149606299213" bottom="0.74803149606299213" header="0.31496062992125984" footer="0.31496062992125984"/>
  <pageSetup paperSize="5"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5" tint="0.59999389629810485"/>
  </sheetPr>
  <dimension ref="A1:O29"/>
  <sheetViews>
    <sheetView workbookViewId="0">
      <selection activeCell="D4" sqref="D4"/>
    </sheetView>
  </sheetViews>
  <sheetFormatPr baseColWidth="10" defaultRowHeight="12.75" x14ac:dyDescent="0.2"/>
  <cols>
    <col min="1" max="1" width="16" style="552" customWidth="1"/>
    <col min="2" max="2" width="9.28515625" style="552" hidden="1" customWidth="1"/>
    <col min="3" max="10" width="8.7109375" style="552" bestFit="1" customWidth="1"/>
    <col min="11" max="11" width="9.7109375" style="552" bestFit="1" customWidth="1"/>
    <col min="12" max="12" width="8.7109375" style="552" bestFit="1" customWidth="1"/>
    <col min="13" max="13" width="9.42578125" style="552" bestFit="1" customWidth="1"/>
    <col min="14" max="14" width="8.7109375" style="552" bestFit="1" customWidth="1"/>
    <col min="15" max="15" width="13.7109375" style="552" bestFit="1" customWidth="1"/>
    <col min="16" max="16384" width="11.42578125" style="552"/>
  </cols>
  <sheetData>
    <row r="1" spans="1:15" x14ac:dyDescent="0.2">
      <c r="A1" s="1215" t="s">
        <v>341</v>
      </c>
      <c r="B1" s="1215"/>
      <c r="C1" s="1215"/>
      <c r="D1" s="1215"/>
      <c r="E1" s="1215"/>
      <c r="F1" s="1215"/>
      <c r="G1" s="1215"/>
      <c r="H1" s="1215"/>
      <c r="I1" s="1215"/>
      <c r="J1" s="1215"/>
      <c r="K1" s="1215"/>
      <c r="L1" s="1215"/>
      <c r="M1" s="1215"/>
      <c r="N1" s="1215"/>
      <c r="O1" s="1215"/>
    </row>
    <row r="2" spans="1:15" ht="13.5" thickBot="1" x14ac:dyDescent="0.25"/>
    <row r="3" spans="1:15" ht="23.25" thickBot="1" x14ac:dyDescent="0.25">
      <c r="A3" s="553" t="s">
        <v>305</v>
      </c>
      <c r="B3" s="554" t="s">
        <v>273</v>
      </c>
      <c r="C3" s="553" t="s">
        <v>1</v>
      </c>
      <c r="D3" s="555" t="s">
        <v>2</v>
      </c>
      <c r="E3" s="553" t="s">
        <v>3</v>
      </c>
      <c r="F3" s="555" t="s">
        <v>4</v>
      </c>
      <c r="G3" s="553" t="s">
        <v>5</v>
      </c>
      <c r="H3" s="553" t="s">
        <v>6</v>
      </c>
      <c r="I3" s="553" t="s">
        <v>7</v>
      </c>
      <c r="J3" s="555" t="s">
        <v>8</v>
      </c>
      <c r="K3" s="553" t="s">
        <v>9</v>
      </c>
      <c r="L3" s="555" t="s">
        <v>10</v>
      </c>
      <c r="M3" s="553" t="s">
        <v>11</v>
      </c>
      <c r="N3" s="553" t="s">
        <v>12</v>
      </c>
      <c r="O3" s="556" t="s">
        <v>165</v>
      </c>
    </row>
    <row r="4" spans="1:15" ht="12.75" customHeight="1" x14ac:dyDescent="0.2">
      <c r="A4" s="557" t="s">
        <v>274</v>
      </c>
      <c r="B4" s="577"/>
      <c r="C4" s="559">
        <f>'F.F.M30%'!C7+'F.F.M.70%'!C7+'F.F.M.ESTIIMACIONES 2014'!C7</f>
        <v>1446432.7076448796</v>
      </c>
      <c r="D4" s="559">
        <f>'F.F.M30%'!D7+'F.F.M.70%'!D7+'F.F.M.ESTIIMACIONES 2014'!D7</f>
        <v>1872973.9819132797</v>
      </c>
      <c r="E4" s="559">
        <f>'F.F.M30%'!E7+'F.F.M.70%'!E7+'F.F.M.ESTIIMACIONES 2014'!E7</f>
        <v>1375300.6084121815</v>
      </c>
      <c r="F4" s="559">
        <f>'F.F.M30%'!F7+'F.F.M.70%'!F7+'F.F.M.ESTIIMACIONES 2014'!F7</f>
        <v>1601927.1487106176</v>
      </c>
      <c r="G4" s="559">
        <f>'F.F.M30%'!G7+'F.F.M.70%'!G7+'F.F.M.ESTIIMACIONES 2014'!G7</f>
        <v>1665128.5483912402</v>
      </c>
      <c r="H4" s="559">
        <f>'F.F.M30%'!H7+'F.F.M.70%'!H7+'F.F.M.ESTIIMACIONES 2014'!H7</f>
        <v>1691967.0784977267</v>
      </c>
      <c r="I4" s="559">
        <f>'F.F.M30%'!I7+'F.F.M.70%'!I7+'F.F.M.ESTIIMACIONES 2014'!I7</f>
        <v>1552783.3664382</v>
      </c>
      <c r="J4" s="559">
        <f>'F.F.M30%'!J7+'F.F.M.70%'!J7+'F.F.M.ESTIIMACIONES 2014'!J7</f>
        <v>1489986.2721525459</v>
      </c>
      <c r="K4" s="559">
        <f>'F.F.M30%'!K7+'F.F.M.70%'!K7+'F.F.M.ESTIIMACIONES 2014'!K7</f>
        <v>1518965.2654635243</v>
      </c>
      <c r="L4" s="559">
        <f>'F.F.M30%'!L7+'F.F.M.70%'!L7+'F.F.M.ESTIIMACIONES 2014'!L7</f>
        <v>1259087.1389236022</v>
      </c>
      <c r="M4" s="559">
        <f>'F.F.M30%'!M7+'F.F.M.70%'!M7+'F.F.M.ESTIIMACIONES 2014'!M7</f>
        <v>1415790.5195847817</v>
      </c>
      <c r="N4" s="559">
        <f>'F.F.M30%'!N7+'F.F.M.70%'!N7+'F.F.M.ESTIIMACIONES 2014'!N7</f>
        <v>1502731.1014292324</v>
      </c>
      <c r="O4" s="560">
        <f t="shared" ref="O4:O24" si="0">SUM(C4:N4)</f>
        <v>18393073.737561811</v>
      </c>
    </row>
    <row r="5" spans="1:15" ht="12.75" customHeight="1" x14ac:dyDescent="0.2">
      <c r="A5" s="557" t="s">
        <v>144</v>
      </c>
      <c r="B5" s="577"/>
      <c r="C5" s="559">
        <f>'F.F.M30%'!C8+'F.F.M.70%'!C8+'F.F.M.ESTIIMACIONES 2014'!C8</f>
        <v>948602.61683643493</v>
      </c>
      <c r="D5" s="559">
        <f>'F.F.M30%'!D8+'F.F.M.70%'!D8+'F.F.M.ESTIIMACIONES 2014'!D8</f>
        <v>1186444.3694808478</v>
      </c>
      <c r="E5" s="559">
        <f>'F.F.M30%'!E8+'F.F.M.70%'!E8+'F.F.M.ESTIIMACIONES 2014'!E8</f>
        <v>909456.05121519812</v>
      </c>
      <c r="F5" s="559">
        <f>'F.F.M30%'!F8+'F.F.M.70%'!F8+'F.F.M.ESTIIMACIONES 2014'!F8</f>
        <v>1041390.6910546458</v>
      </c>
      <c r="G5" s="559">
        <f>'F.F.M30%'!G8+'F.F.M.70%'!G8+'F.F.M.ESTIIMACIONES 2014'!G8</f>
        <v>1019893.9443664204</v>
      </c>
      <c r="H5" s="559">
        <f>'F.F.M30%'!H8+'F.F.M.70%'!H8+'F.F.M.ESTIIMACIONES 2014'!H8</f>
        <v>1051354.5909462278</v>
      </c>
      <c r="I5" s="559">
        <f>'F.F.M30%'!I8+'F.F.M.70%'!I8+'F.F.M.ESTIIMACIONES 2014'!I8</f>
        <v>1023680.186496735</v>
      </c>
      <c r="J5" s="559">
        <f>'F.F.M30%'!J8+'F.F.M.70%'!J8+'F.F.M.ESTIIMACIONES 2014'!J8</f>
        <v>949670.47513621568</v>
      </c>
      <c r="K5" s="559">
        <f>'F.F.M30%'!K8+'F.F.M.70%'!K8+'F.F.M.ESTIIMACIONES 2014'!K8</f>
        <v>995156.39827804314</v>
      </c>
      <c r="L5" s="559">
        <f>'F.F.M30%'!L8+'F.F.M.70%'!L8+'F.F.M.ESTIIMACIONES 2014'!L8</f>
        <v>877911.57502856385</v>
      </c>
      <c r="M5" s="559">
        <f>'F.F.M30%'!M8+'F.F.M.70%'!M8+'F.F.M.ESTIIMACIONES 2014'!M8</f>
        <v>916315.35021741409</v>
      </c>
      <c r="N5" s="559">
        <f>'F.F.M30%'!N8+'F.F.M.70%'!N8+'F.F.M.ESTIIMACIONES 2014'!N8</f>
        <v>989559.28566345433</v>
      </c>
      <c r="O5" s="560">
        <f t="shared" si="0"/>
        <v>11909435.534720199</v>
      </c>
    </row>
    <row r="6" spans="1:15" ht="12.75" customHeight="1" x14ac:dyDescent="0.2">
      <c r="A6" s="557" t="s">
        <v>145</v>
      </c>
      <c r="B6" s="577"/>
      <c r="C6" s="559">
        <f>'F.F.M30%'!C9+'F.F.M.70%'!C9+'F.F.M.ESTIIMACIONES 2014'!C9</f>
        <v>875156.26409315469</v>
      </c>
      <c r="D6" s="559">
        <f>'F.F.M30%'!D9+'F.F.M.70%'!D9+'F.F.M.ESTIIMACIONES 2014'!D9</f>
        <v>1072203.7234917525</v>
      </c>
      <c r="E6" s="559">
        <f>'F.F.M30%'!E9+'F.F.M.70%'!E9+'F.F.M.ESTIIMACIONES 2014'!E9</f>
        <v>843048.93985086214</v>
      </c>
      <c r="F6" s="559">
        <f>'F.F.M30%'!F9+'F.F.M.70%'!F9+'F.F.M.ESTIIMACIONES 2014'!F9</f>
        <v>955851.64449697465</v>
      </c>
      <c r="G6" s="559">
        <f>'F.F.M30%'!G9+'F.F.M.70%'!G9+'F.F.M.ESTIIMACIONES 2014'!G9</f>
        <v>902394.18896581745</v>
      </c>
      <c r="H6" s="559">
        <f>'F.F.M30%'!H9+'F.F.M.70%'!H9+'F.F.M.ESTIIMACIONES 2014'!H9</f>
        <v>938822.53317129845</v>
      </c>
      <c r="I6" s="559">
        <f>'F.F.M30%'!I9+'F.F.M.70%'!I9+'F.F.M.ESTIIMACIONES 2014'!I9</f>
        <v>947268.37979591184</v>
      </c>
      <c r="J6" s="559">
        <f>'F.F.M30%'!J9+'F.F.M.70%'!J9+'F.F.M.ESTIIMACIONES 2014'!J9</f>
        <v>861453.52050549851</v>
      </c>
      <c r="K6" s="559">
        <f>'F.F.M30%'!K9+'F.F.M.70%'!K9+'F.F.M.ESTIIMACIONES 2014'!K9</f>
        <v>917563.54662549321</v>
      </c>
      <c r="L6" s="559">
        <f>'F.F.M30%'!L9+'F.F.M.70%'!L9+'F.F.M.ESTIIMACIONES 2014'!L9</f>
        <v>837809.69914384244</v>
      </c>
      <c r="M6" s="559">
        <f>'F.F.M30%'!M9+'F.F.M.70%'!M9+'F.F.M.ESTIIMACIONES 2014'!M9</f>
        <v>838856.28377695451</v>
      </c>
      <c r="N6" s="559">
        <f>'F.F.M30%'!N9+'F.F.M.70%'!N9+'F.F.M.ESTIIMACIONES 2014'!N9</f>
        <v>915097.26246834954</v>
      </c>
      <c r="O6" s="560">
        <f t="shared" si="0"/>
        <v>10905525.986385908</v>
      </c>
    </row>
    <row r="7" spans="1:15" ht="12.75" customHeight="1" x14ac:dyDescent="0.2">
      <c r="A7" s="557" t="s">
        <v>275</v>
      </c>
      <c r="B7" s="577"/>
      <c r="C7" s="559">
        <f>'F.F.M30%'!C10+'F.F.M.70%'!C10+'F.F.M.ESTIIMACIONES 2014'!C10</f>
        <v>2902950.6389050754</v>
      </c>
      <c r="D7" s="559">
        <f>'F.F.M30%'!D10+'F.F.M.70%'!D10+'F.F.M.ESTIIMACIONES 2014'!D10</f>
        <v>5704775.3180745868</v>
      </c>
      <c r="E7" s="559">
        <f>'F.F.M30%'!E10+'F.F.M.70%'!E10+'F.F.M.ESTIIMACIONES 2014'!E10</f>
        <v>2411688.4828620306</v>
      </c>
      <c r="F7" s="559">
        <f>'F.F.M30%'!F10+'F.F.M.70%'!F10+'F.F.M.ESTIIMACIONES 2014'!F10</f>
        <v>3641795.1275534043</v>
      </c>
      <c r="G7" s="559">
        <f>'F.F.M30%'!G10+'F.F.M.70%'!G10+'F.F.M.ESTIIMACIONES 2014'!G10</f>
        <v>6692187.3254206814</v>
      </c>
      <c r="H7" s="559">
        <f>'F.F.M30%'!H10+'F.F.M.70%'!H10+'F.F.M.ESTIIMACIONES 2014'!H10</f>
        <v>6102345.6626097038</v>
      </c>
      <c r="I7" s="559">
        <f>'F.F.M30%'!I10+'F.F.M.70%'!I10+'F.F.M.ESTIIMACIONES 2014'!I10</f>
        <v>2868817.3549850406</v>
      </c>
      <c r="J7" s="559">
        <f>'F.F.M30%'!J10+'F.F.M.70%'!J10+'F.F.M.ESTIIMACIONES 2014'!J10</f>
        <v>4267408.6481773909</v>
      </c>
      <c r="K7" s="559">
        <f>'F.F.M30%'!K10+'F.F.M.70%'!K10+'F.F.M.ESTIIMACIONES 2014'!K10</f>
        <v>3095648.7915530987</v>
      </c>
      <c r="L7" s="559">
        <f>'F.F.M30%'!L10+'F.F.M.70%'!L10+'F.F.M.ESTIIMACIONES 2014'!L10</f>
        <v>103683.86703030753</v>
      </c>
      <c r="M7" s="559">
        <f>'F.F.M30%'!M10+'F.F.M.70%'!M10+'F.F.M.ESTIIMACIONES 2014'!M10</f>
        <v>3407691.666268318</v>
      </c>
      <c r="N7" s="559">
        <f>'F.F.M30%'!N10+'F.F.M.70%'!N10+'F.F.M.ESTIIMACIONES 2014'!N10</f>
        <v>2828534.9059437597</v>
      </c>
      <c r="O7" s="560">
        <f t="shared" si="0"/>
        <v>44027527.789383404</v>
      </c>
    </row>
    <row r="8" spans="1:15" ht="12.75" customHeight="1" x14ac:dyDescent="0.2">
      <c r="A8" s="557" t="s">
        <v>147</v>
      </c>
      <c r="B8" s="577"/>
      <c r="C8" s="559">
        <f>'F.F.M30%'!C11+'F.F.M.70%'!C11+'F.F.M.ESTIIMACIONES 2014'!C11</f>
        <v>2141252.054122515</v>
      </c>
      <c r="D8" s="559">
        <f>'F.F.M30%'!D11+'F.F.M.70%'!D11+'F.F.M.ESTIIMACIONES 2014'!D11</f>
        <v>3086673.454829501</v>
      </c>
      <c r="E8" s="559">
        <f>'F.F.M30%'!E11+'F.F.M.70%'!E11+'F.F.M.ESTIIMACIONES 2014'!E11</f>
        <v>1979713.5419828815</v>
      </c>
      <c r="F8" s="559">
        <f>'F.F.M30%'!F11+'F.F.M.70%'!F11+'F.F.M.ESTIIMACIONES 2014'!F11</f>
        <v>2440307.9752712324</v>
      </c>
      <c r="G8" s="559">
        <f>'F.F.M30%'!G11+'F.F.M.70%'!G11+'F.F.M.ESTIIMACIONES 2014'!G11</f>
        <v>3005634.7345221024</v>
      </c>
      <c r="H8" s="559">
        <f>'F.F.M30%'!H11+'F.F.M.70%'!H11+'F.F.M.ESTIIMACIONES 2014'!H11</f>
        <v>2941492.4835987715</v>
      </c>
      <c r="I8" s="559">
        <f>'F.F.M30%'!I11+'F.F.M.70%'!I11+'F.F.M.ESTIIMACIONES 2014'!I11</f>
        <v>2258739.402740689</v>
      </c>
      <c r="J8" s="559">
        <f>'F.F.M30%'!J11+'F.F.M.70%'!J11+'F.F.M.ESTIIMACIONES 2014'!J11</f>
        <v>2411801.1252443874</v>
      </c>
      <c r="K8" s="559">
        <f>'F.F.M30%'!K11+'F.F.M.70%'!K11+'F.F.M.ESTIIMACIONES 2014'!K11</f>
        <v>2256231.7102754642</v>
      </c>
      <c r="L8" s="559">
        <f>'F.F.M30%'!L11+'F.F.M.70%'!L11+'F.F.M.ESTIIMACIONES 2014'!L11</f>
        <v>1472875.0737923868</v>
      </c>
      <c r="M8" s="559">
        <f>'F.F.M30%'!M11+'F.F.M.70%'!M11+'F.F.M.ESTIIMACIONES 2014'!M11</f>
        <v>2187262.8773189997</v>
      </c>
      <c r="N8" s="559">
        <f>'F.F.M30%'!N11+'F.F.M.70%'!N11+'F.F.M.ESTIIMACIONES 2014'!N11</f>
        <v>2194353.302493195</v>
      </c>
      <c r="O8" s="560">
        <f t="shared" si="0"/>
        <v>28376337.73619213</v>
      </c>
    </row>
    <row r="9" spans="1:15" ht="12.75" customHeight="1" x14ac:dyDescent="0.2">
      <c r="A9" s="557" t="s">
        <v>276</v>
      </c>
      <c r="B9" s="577"/>
      <c r="C9" s="559">
        <f>'F.F.M30%'!C12+'F.F.M.70%'!C12+'F.F.M.ESTIIMACIONES 2014'!C12</f>
        <v>682821.50110917282</v>
      </c>
      <c r="D9" s="559">
        <f>'F.F.M30%'!D12+'F.F.M.70%'!D12+'F.F.M.ESTIIMACIONES 2014'!D12</f>
        <v>975415.87561080069</v>
      </c>
      <c r="E9" s="559">
        <f>'F.F.M30%'!E12+'F.F.M.70%'!E12+'F.F.M.ESTIIMACIONES 2014'!E12</f>
        <v>632900.93269308633</v>
      </c>
      <c r="F9" s="559">
        <f>'F.F.M30%'!F12+'F.F.M.70%'!F12+'F.F.M.ESTIIMACIONES 2014'!F12</f>
        <v>776237.23923553154</v>
      </c>
      <c r="G9" s="559">
        <f>'F.F.M30%'!G12+'F.F.M.70%'!G12+'F.F.M.ESTIIMACIONES 2014'!G12</f>
        <v>943156.27593561495</v>
      </c>
      <c r="H9" s="559">
        <f>'F.F.M30%'!H12+'F.F.M.70%'!H12+'F.F.M.ESTIIMACIONES 2014'!H12</f>
        <v>925643.04924016539</v>
      </c>
      <c r="I9" s="559">
        <f>'F.F.M30%'!I12+'F.F.M.70%'!I12+'F.F.M.ESTIIMACIONES 2014'!I12</f>
        <v>721418.06134386268</v>
      </c>
      <c r="J9" s="559">
        <f>'F.F.M30%'!J12+'F.F.M.70%'!J12+'F.F.M.ESTIIMACIONES 2014'!J12</f>
        <v>763261.90010897745</v>
      </c>
      <c r="K9" s="559">
        <f>'F.F.M30%'!K12+'F.F.M.70%'!K12+'F.F.M.ESTIIMACIONES 2014'!K12</f>
        <v>719271.91685365268</v>
      </c>
      <c r="L9" s="559">
        <f>'F.F.M30%'!L12+'F.F.M.70%'!L12+'F.F.M.ESTIIMACIONES 2014'!L12</f>
        <v>480755.16916792491</v>
      </c>
      <c r="M9" s="559">
        <f>'F.F.M30%'!M12+'F.F.M.70%'!M12+'F.F.M.ESTIIMACIONES 2014'!M12</f>
        <v>694906.75456658145</v>
      </c>
      <c r="N9" s="559">
        <f>'F.F.M30%'!N12+'F.F.M.70%'!N12+'F.F.M.ESTIIMACIONES 2014'!N12</f>
        <v>700611.13366159843</v>
      </c>
      <c r="O9" s="560">
        <f t="shared" si="0"/>
        <v>9016399.8095269669</v>
      </c>
    </row>
    <row r="10" spans="1:15" ht="12.75" customHeight="1" x14ac:dyDescent="0.2">
      <c r="A10" s="557" t="s">
        <v>149</v>
      </c>
      <c r="B10" s="577"/>
      <c r="C10" s="559">
        <f>'F.F.M30%'!C13+'F.F.M.70%'!C13+'F.F.M.ESTIIMACIONES 2014'!C13</f>
        <v>584257.32049412606</v>
      </c>
      <c r="D10" s="559">
        <f>'F.F.M30%'!D13+'F.F.M.70%'!D13+'F.F.M.ESTIIMACIONES 2014'!D13</f>
        <v>726950.65221457765</v>
      </c>
      <c r="E10" s="559">
        <f>'F.F.M30%'!E13+'F.F.M.70%'!E13+'F.F.M.ESTIIMACIONES 2014'!E13</f>
        <v>560826.42564205651</v>
      </c>
      <c r="F10" s="559">
        <f>'F.F.M30%'!F13+'F.F.M.70%'!F13+'F.F.M.ESTIIMACIONES 2014'!F13</f>
        <v>640574.03160456964</v>
      </c>
      <c r="G10" s="559">
        <f>'F.F.M30%'!G13+'F.F.M.70%'!G13+'F.F.M.ESTIIMACIONES 2014'!G13</f>
        <v>621629.35391626554</v>
      </c>
      <c r="H10" s="559">
        <f>'F.F.M30%'!H13+'F.F.M.70%'!H13+'F.F.M.ESTIIMACIONES 2014'!H13</f>
        <v>642262.41917129839</v>
      </c>
      <c r="I10" s="559">
        <f>'F.F.M30%'!I13+'F.F.M.70%'!I13+'F.F.M.ESTIIMACIONES 2014'!I13</f>
        <v>630981.70186192123</v>
      </c>
      <c r="J10" s="559">
        <f>'F.F.M30%'!J13+'F.F.M.70%'!J13+'F.F.M.ESTIIMACIONES 2014'!J13</f>
        <v>582423.20680140588</v>
      </c>
      <c r="K10" s="559">
        <f>'F.F.M30%'!K13+'F.F.M.70%'!K13+'F.F.M.ESTIIMACIONES 2014'!K13</f>
        <v>612838.47438357607</v>
      </c>
      <c r="L10" s="559">
        <f>'F.F.M30%'!L13+'F.F.M.70%'!L13+'F.F.M.ESTIIMACIONES 2014'!L13</f>
        <v>545446.11513273662</v>
      </c>
      <c r="M10" s="559">
        <f>'F.F.M30%'!M13+'F.F.M.70%'!M13+'F.F.M.ESTIIMACIONES 2014'!M13</f>
        <v>563266.28476768977</v>
      </c>
      <c r="N10" s="559">
        <f>'F.F.M30%'!N13+'F.F.M.70%'!N13+'F.F.M.ESTIIMACIONES 2014'!N13</f>
        <v>609848.76451729203</v>
      </c>
      <c r="O10" s="560">
        <f t="shared" si="0"/>
        <v>7321304.7505075159</v>
      </c>
    </row>
    <row r="11" spans="1:15" ht="12.75" customHeight="1" x14ac:dyDescent="0.2">
      <c r="A11" s="557" t="s">
        <v>150</v>
      </c>
      <c r="B11" s="577"/>
      <c r="C11" s="559">
        <f>'F.F.M30%'!C14+'F.F.M.70%'!C14+'F.F.M.ESTIIMACIONES 2014'!C14</f>
        <v>1262510.0434264247</v>
      </c>
      <c r="D11" s="559">
        <f>'F.F.M30%'!D14+'F.F.M.70%'!D14+'F.F.M.ESTIIMACIONES 2014'!D14</f>
        <v>1634680.8601659858</v>
      </c>
      <c r="E11" s="559">
        <f>'F.F.M30%'!E14+'F.F.M.70%'!E14+'F.F.M.ESTIIMACIONES 2014'!E14</f>
        <v>1200446.6698708353</v>
      </c>
      <c r="F11" s="559">
        <f>'F.F.M30%'!F14+'F.F.M.70%'!F14+'F.F.M.ESTIIMACIONES 2014'!F14</f>
        <v>1398203.220733904</v>
      </c>
      <c r="G11" s="559">
        <f>'F.F.M30%'!G14+'F.F.M.70%'!G14+'F.F.M.ESTIIMACIONES 2014'!G14</f>
        <v>1453168.1119055685</v>
      </c>
      <c r="H11" s="559">
        <f>'F.F.M30%'!H14+'F.F.M.70%'!H14+'F.F.M.ESTIIMACIONES 2014'!H14</f>
        <v>1476638.0116245202</v>
      </c>
      <c r="I11" s="559">
        <f>'F.F.M30%'!I14+'F.F.M.70%'!I14+'F.F.M.ESTIIMACIONES 2014'!I14</f>
        <v>1355354.5154142594</v>
      </c>
      <c r="J11" s="559">
        <f>'F.F.M30%'!J14+'F.F.M.70%'!J14+'F.F.M.ESTIIMACIONES 2014'!J14</f>
        <v>1300438.1161771712</v>
      </c>
      <c r="K11" s="559">
        <f>'F.F.M30%'!K14+'F.F.M.70%'!K14+'F.F.M.ESTIIMACIONES 2014'!K14</f>
        <v>1325816.4228888524</v>
      </c>
      <c r="L11" s="559">
        <f>'F.F.M30%'!L14+'F.F.M.70%'!L14+'F.F.M.ESTIIMACIONES 2014'!L14</f>
        <v>1099152.4290871921</v>
      </c>
      <c r="M11" s="559">
        <f>'F.F.M30%'!M14+'F.F.M.70%'!M14+'F.F.M.ESTIIMACIONES 2014'!M14</f>
        <v>1235725.4451776266</v>
      </c>
      <c r="N11" s="559">
        <f>'F.F.M30%'!N14+'F.F.M.70%'!N14+'F.F.M.ESTIIMACIONES 2014'!N14</f>
        <v>1311662.5808163811</v>
      </c>
      <c r="O11" s="560">
        <f t="shared" si="0"/>
        <v>16053796.427288719</v>
      </c>
    </row>
    <row r="12" spans="1:15" ht="12.75" customHeight="1" x14ac:dyDescent="0.2">
      <c r="A12" s="557" t="s">
        <v>151</v>
      </c>
      <c r="B12" s="577"/>
      <c r="C12" s="559">
        <f>'F.F.M30%'!C15+'F.F.M.70%'!C15+'F.F.M.ESTIIMACIONES 2014'!C15</f>
        <v>1070084.4287560701</v>
      </c>
      <c r="D12" s="559">
        <f>'F.F.M30%'!D15+'F.F.M.70%'!D15+'F.F.M.ESTIIMACIONES 2014'!D15</f>
        <v>1328042.3315396435</v>
      </c>
      <c r="E12" s="559">
        <f>'F.F.M30%'!E15+'F.F.M.70%'!E15+'F.F.M.ESTIIMACIONES 2014'!E15</f>
        <v>1027777.0749378758</v>
      </c>
      <c r="F12" s="559">
        <f>'F.F.M30%'!F15+'F.F.M.70%'!F15+'F.F.M.ESTIIMACIONES 2014'!F15</f>
        <v>1172486.7911365584</v>
      </c>
      <c r="G12" s="559">
        <f>'F.F.M30%'!G15+'F.F.M.70%'!G15+'F.F.M.ESTIIMACIONES 2014'!G15</f>
        <v>1132696.8462577986</v>
      </c>
      <c r="H12" s="559">
        <f>'F.F.M30%'!H15+'F.F.M.70%'!H15+'F.F.M.ESTIIMACIONES 2014'!H15</f>
        <v>1171608.1120458818</v>
      </c>
      <c r="I12" s="559">
        <f>'F.F.M30%'!I15+'F.F.M.70%'!I15+'F.F.M.ESTIIMACIONES 2014'!I15</f>
        <v>1156092.7304039916</v>
      </c>
      <c r="J12" s="559">
        <f>'F.F.M30%'!J15+'F.F.M.70%'!J15+'F.F.M.ESTIIMACIONES 2014'!J15</f>
        <v>1064500.8460006386</v>
      </c>
      <c r="K12" s="559">
        <f>'F.F.M30%'!K15+'F.F.M.70%'!K15+'F.F.M.ESTIIMACIONES 2014'!K15</f>
        <v>1122349.5649493691</v>
      </c>
      <c r="L12" s="559">
        <f>'F.F.M30%'!L15+'F.F.M.70%'!L15+'F.F.M.ESTIIMACIONES 2014'!L15</f>
        <v>1003221.3966322119</v>
      </c>
      <c r="M12" s="559">
        <f>'F.F.M30%'!M15+'F.F.M.70%'!M15+'F.F.M.ESTIIMACIONES 2014'!M15</f>
        <v>1030652.4605395714</v>
      </c>
      <c r="N12" s="559">
        <f>'F.F.M30%'!N15+'F.F.M.70%'!N15+'F.F.M.ESTIIMACIONES 2014'!N15</f>
        <v>1117282.3300215788</v>
      </c>
      <c r="O12" s="560">
        <f t="shared" si="0"/>
        <v>13396794.913221188</v>
      </c>
    </row>
    <row r="13" spans="1:15" ht="12.75" customHeight="1" x14ac:dyDescent="0.2">
      <c r="A13" s="557" t="s">
        <v>152</v>
      </c>
      <c r="B13" s="577"/>
      <c r="C13" s="559">
        <f>'F.F.M30%'!C16+'F.F.M.70%'!C16+'F.F.M.ESTIIMACIONES 2014'!C16</f>
        <v>611387.65904690477</v>
      </c>
      <c r="D13" s="559">
        <f>'F.F.M30%'!D16+'F.F.M.70%'!D16+'F.F.M.ESTIIMACIONES 2014'!D16</f>
        <v>761164.07153890224</v>
      </c>
      <c r="E13" s="559">
        <f>'F.F.M30%'!E16+'F.F.M.70%'!E16+'F.F.M.ESTIIMACIONES 2014'!E16</f>
        <v>586786.87889897497</v>
      </c>
      <c r="F13" s="559">
        <f>'F.F.M30%'!F16+'F.F.M.70%'!F16+'F.F.M.ESTIIMACIONES 2014'!F16</f>
        <v>670419.71228930599</v>
      </c>
      <c r="G13" s="559">
        <f>'F.F.M30%'!G16+'F.F.M.70%'!G16+'F.F.M.ESTIIMACIONES 2014'!G16</f>
        <v>651282.02297863946</v>
      </c>
      <c r="H13" s="559">
        <f>'F.F.M30%'!H16+'F.F.M.70%'!H16+'F.F.M.ESTIIMACIONES 2014'!H16</f>
        <v>672722.00054610858</v>
      </c>
      <c r="I13" s="559">
        <f>'F.F.M30%'!I16+'F.F.M.70%'!I16+'F.F.M.ESTIIMACIONES 2014'!I16</f>
        <v>660223.56328663195</v>
      </c>
      <c r="J13" s="559">
        <f>'F.F.M30%'!J16+'F.F.M.70%'!J16+'F.F.M.ESTIIMACIONES 2014'!J16</f>
        <v>609768.33558378601</v>
      </c>
      <c r="K13" s="559">
        <f>'F.F.M30%'!K16+'F.F.M.70%'!K16+'F.F.M.ESTIIMACIONES 2014'!K16</f>
        <v>641307.06539895386</v>
      </c>
      <c r="L13" s="559">
        <f>'F.F.M30%'!L16+'F.F.M.70%'!L16+'F.F.M.ESTIIMACIONES 2014'!L16</f>
        <v>570205.0440815707</v>
      </c>
      <c r="M13" s="559">
        <f>'F.F.M30%'!M16+'F.F.M.70%'!M16+'F.F.M.ESTIIMACIONES 2014'!M16</f>
        <v>589554.89269650017</v>
      </c>
      <c r="N13" s="559">
        <f>'F.F.M30%'!N16+'F.F.M.70%'!N16+'F.F.M.ESTIIMACIONES 2014'!N16</f>
        <v>638123.43858347845</v>
      </c>
      <c r="O13" s="560">
        <f t="shared" si="0"/>
        <v>7662944.6849297564</v>
      </c>
    </row>
    <row r="14" spans="1:15" ht="12.75" customHeight="1" x14ac:dyDescent="0.2">
      <c r="A14" s="557" t="s">
        <v>153</v>
      </c>
      <c r="B14" s="577"/>
      <c r="C14" s="559">
        <f>'F.F.M30%'!C17+'F.F.M.70%'!C17+'F.F.M.ESTIIMACIONES 2014'!C17</f>
        <v>1728134.2595786338</v>
      </c>
      <c r="D14" s="559">
        <f>'F.F.M30%'!D17+'F.F.M.70%'!D17+'F.F.M.ESTIIMACIONES 2014'!D17</f>
        <v>2886308.8180723758</v>
      </c>
      <c r="E14" s="559">
        <f>'F.F.M30%'!E17+'F.F.M.70%'!E17+'F.F.M.ESTIIMACIONES 2014'!E17</f>
        <v>1526986.3615570024</v>
      </c>
      <c r="F14" s="559">
        <f>'F.F.M30%'!F17+'F.F.M.70%'!F17+'F.F.M.ESTIIMACIONES 2014'!F17</f>
        <v>2056163.2797405962</v>
      </c>
      <c r="G14" s="559">
        <f>'F.F.M30%'!G17+'F.F.M.70%'!G17+'F.F.M.ESTIIMACIONES 2014'!G17</f>
        <v>3106148.3409373239</v>
      </c>
      <c r="H14" s="559">
        <f>'F.F.M30%'!H17+'F.F.M.70%'!H17+'F.F.M.ESTIIMACIONES 2014'!H17</f>
        <v>2923654.3433707124</v>
      </c>
      <c r="I14" s="559">
        <f>'F.F.M30%'!I17+'F.F.M.70%'!I17+'F.F.M.ESTIIMACIONES 2014'!I17</f>
        <v>1772675.4874929718</v>
      </c>
      <c r="J14" s="559">
        <f>'F.F.M30%'!J17+'F.F.M.70%'!J17+'F.F.M.ESTIIMACIONES 2014'!J17</f>
        <v>2205834.4460394331</v>
      </c>
      <c r="K14" s="559">
        <f>'F.F.M30%'!K17+'F.F.M.70%'!K17+'F.F.M.ESTIIMACIONES 2014'!K17</f>
        <v>1830501.4071771889</v>
      </c>
      <c r="L14" s="559">
        <f>'F.F.M30%'!L17+'F.F.M.70%'!L17+'F.F.M.ESTIIMACIONES 2014'!L17</f>
        <v>696579.89348419686</v>
      </c>
      <c r="M14" s="559">
        <f>'F.F.M30%'!M17+'F.F.M.70%'!M17+'F.F.M.ESTIIMACIONES 2014'!M17</f>
        <v>1880262.6454977922</v>
      </c>
      <c r="N14" s="559">
        <f>'F.F.M30%'!N17+'F.F.M.70%'!N17+'F.F.M.ESTIIMACIONES 2014'!N17</f>
        <v>1732931.4102684236</v>
      </c>
      <c r="O14" s="560">
        <f t="shared" si="0"/>
        <v>24346180.693216648</v>
      </c>
    </row>
    <row r="15" spans="1:15" ht="12.75" customHeight="1" x14ac:dyDescent="0.2">
      <c r="A15" s="557" t="s">
        <v>154</v>
      </c>
      <c r="B15" s="577"/>
      <c r="C15" s="559">
        <f>'F.F.M30%'!C18+'F.F.M.70%'!C18+'F.F.M.ESTIIMACIONES 2014'!C18</f>
        <v>1260688.9662063818</v>
      </c>
      <c r="D15" s="559">
        <f>'F.F.M30%'!D18+'F.F.M.70%'!D18+'F.F.M.ESTIIMACIONES 2014'!D18</f>
        <v>1556086.9973696037</v>
      </c>
      <c r="E15" s="559">
        <f>'F.F.M30%'!E18+'F.F.M.70%'!E18+'F.F.M.ESTIIMACIONES 2014'!E18</f>
        <v>1212369.5591792823</v>
      </c>
      <c r="F15" s="559">
        <f>'F.F.M30%'!F18+'F.F.M.70%'!F18+'F.F.M.ESTIIMACIONES 2014'!F18</f>
        <v>1379465.3443098618</v>
      </c>
      <c r="G15" s="559">
        <f>'F.F.M30%'!G18+'F.F.M.70%'!G18+'F.F.M.ESTIIMACIONES 2014'!G18</f>
        <v>1319805.1665630492</v>
      </c>
      <c r="H15" s="559">
        <f>'F.F.M30%'!H18+'F.F.M.70%'!H18+'F.F.M.ESTIIMACIONES 2014'!H18</f>
        <v>1368461.8605954372</v>
      </c>
      <c r="I15" s="559">
        <f>'F.F.M30%'!I18+'F.F.M.70%'!I18+'F.F.M.ESTIIMACIONES 2014'!I18</f>
        <v>1363099.646799389</v>
      </c>
      <c r="J15" s="559">
        <f>'F.F.M30%'!J18+'F.F.M.70%'!J18+'F.F.M.ESTIIMACIONES 2014'!J18</f>
        <v>1248527.1200600292</v>
      </c>
      <c r="K15" s="559">
        <f>'F.F.M30%'!K18+'F.F.M.70%'!K18+'F.F.M.ESTIIMACIONES 2014'!K18</f>
        <v>1322057.5645997948</v>
      </c>
      <c r="L15" s="559">
        <f>'F.F.M30%'!L18+'F.F.M.70%'!L18+'F.F.M.ESTIIMACIONES 2014'!L18</f>
        <v>1192511.6277879307</v>
      </c>
      <c r="M15" s="559">
        <f>'F.F.M30%'!M18+'F.F.M.70%'!M18+'F.F.M.ESTIIMACIONES 2014'!M18</f>
        <v>1211757.5344127058</v>
      </c>
      <c r="N15" s="559">
        <f>'F.F.M30%'!N18+'F.F.M.70%'!N18+'F.F.M.ESTIIMACIONES 2014'!N18</f>
        <v>1317113.2084748703</v>
      </c>
      <c r="O15" s="560">
        <f t="shared" si="0"/>
        <v>15751944.596358337</v>
      </c>
    </row>
    <row r="16" spans="1:15" ht="12.75" customHeight="1" x14ac:dyDescent="0.2">
      <c r="A16" s="557" t="s">
        <v>155</v>
      </c>
      <c r="B16" s="577"/>
      <c r="C16" s="559">
        <f>'F.F.M30%'!C19+'F.F.M.70%'!C19+'F.F.M.ESTIIMACIONES 2014'!C19</f>
        <v>1818412.4199270518</v>
      </c>
      <c r="D16" s="559">
        <f>'F.F.M30%'!D19+'F.F.M.70%'!D19+'F.F.M.ESTIIMACIONES 2014'!D19</f>
        <v>2293922.2502311957</v>
      </c>
      <c r="E16" s="559">
        <f>'F.F.M30%'!E19+'F.F.M.70%'!E19+'F.F.M.ESTIIMACIONES 2014'!E19</f>
        <v>1739863.6056950488</v>
      </c>
      <c r="F16" s="559">
        <f>'F.F.M30%'!F19+'F.F.M.70%'!F19+'F.F.M.ESTIIMACIONES 2014'!F19</f>
        <v>2000576.3737396547</v>
      </c>
      <c r="G16" s="559">
        <f>'F.F.M30%'!G19+'F.F.M.70%'!G19+'F.F.M.ESTIIMACIONES 2014'!G19</f>
        <v>1988790.6202069335</v>
      </c>
      <c r="H16" s="559">
        <f>'F.F.M30%'!H19+'F.F.M.70%'!H19+'F.F.M.ESTIIMACIONES 2014'!H19</f>
        <v>2042620.5657850972</v>
      </c>
      <c r="I16" s="559">
        <f>'F.F.M30%'!I19+'F.F.M.70%'!I19+'F.F.M.ESTIIMACIONES 2014'!I19</f>
        <v>1959839.8966296595</v>
      </c>
      <c r="J16" s="559">
        <f>'F.F.M30%'!J19+'F.F.M.70%'!J19+'F.F.M.ESTIIMACIONES 2014'!J19</f>
        <v>1833311.459030963</v>
      </c>
      <c r="K16" s="559">
        <f>'F.F.M30%'!K19+'F.F.M.70%'!K19+'F.F.M.ESTIIMACIONES 2014'!K19</f>
        <v>1908127.4159194853</v>
      </c>
      <c r="L16" s="559">
        <f>'F.F.M30%'!L19+'F.F.M.70%'!L19+'F.F.M.ESTIIMACIONES 2014'!L19</f>
        <v>1658514.6370207439</v>
      </c>
      <c r="M16" s="559">
        <f>'F.F.M30%'!M19+'F.F.M.70%'!M19+'F.F.M.ESTIIMACIONES 2014'!M19</f>
        <v>1762218.2801563598</v>
      </c>
      <c r="N16" s="559">
        <f>'F.F.M30%'!N19+'F.F.M.70%'!N19+'F.F.M.ESTIIMACIONES 2014'!N19</f>
        <v>1895037.7976844644</v>
      </c>
      <c r="O16" s="560">
        <f t="shared" si="0"/>
        <v>22901235.322026659</v>
      </c>
    </row>
    <row r="17" spans="1:15" ht="12.75" customHeight="1" x14ac:dyDescent="0.2">
      <c r="A17" s="557" t="s">
        <v>277</v>
      </c>
      <c r="B17" s="577"/>
      <c r="C17" s="559">
        <f>'F.F.M30%'!C20+'F.F.M.70%'!C20+'F.F.M.ESTIIMACIONES 2014'!C20</f>
        <v>786135.99329494883</v>
      </c>
      <c r="D17" s="559">
        <f>'F.F.M30%'!D20+'F.F.M.70%'!D20+'F.F.M.ESTIIMACIONES 2014'!D20</f>
        <v>946978.06548906781</v>
      </c>
      <c r="E17" s="559">
        <f>'F.F.M30%'!E20+'F.F.M.70%'!E20+'F.F.M.ESTIIMACIONES 2014'!E20</f>
        <v>760189.3163211135</v>
      </c>
      <c r="F17" s="559">
        <f>'F.F.M30%'!F20+'F.F.M.70%'!F20+'F.F.M.ESTIIMACIONES 2014'!F20</f>
        <v>855078.26561089279</v>
      </c>
      <c r="G17" s="559">
        <f>'F.F.M30%'!G20+'F.F.M.70%'!G20+'F.F.M.ESTIIMACIONES 2014'!G20</f>
        <v>782775.00198049832</v>
      </c>
      <c r="H17" s="559">
        <f>'F.F.M30%'!H20+'F.F.M.70%'!H20+'F.F.M.ESTIIMACIONES 2014'!H20</f>
        <v>820844.60456413694</v>
      </c>
      <c r="I17" s="559">
        <f>'F.F.M30%'!I20+'F.F.M.70%'!I20+'F.F.M.ESTIIMACIONES 2014'!I20</f>
        <v>852969.3228813241</v>
      </c>
      <c r="J17" s="559">
        <f>'F.F.M30%'!J20+'F.F.M.70%'!J20+'F.F.M.ESTIIMACIONES 2014'!J20</f>
        <v>763219.72511509503</v>
      </c>
      <c r="K17" s="559">
        <f>'F.F.M30%'!K20+'F.F.M.70%'!K20+'F.F.M.ESTIIMACIONES 2014'!K20</f>
        <v>823838.19038544712</v>
      </c>
      <c r="L17" s="559">
        <f>'F.F.M30%'!L20+'F.F.M.70%'!L20+'F.F.M.ESTIIMACIONES 2014'!L20</f>
        <v>772716.35644033295</v>
      </c>
      <c r="M17" s="559">
        <f>'F.F.M30%'!M20+'F.F.M.70%'!M20+'F.F.M.ESTIIMACIONES 2014'!M20</f>
        <v>748825.14911039965</v>
      </c>
      <c r="N17" s="559">
        <f>'F.F.M30%'!N20+'F.F.M.70%'!N20+'F.F.M.ESTIIMACIONES 2014'!N20</f>
        <v>823570.83814975724</v>
      </c>
      <c r="O17" s="560">
        <f t="shared" si="0"/>
        <v>9737140.8293430153</v>
      </c>
    </row>
    <row r="18" spans="1:15" ht="12.75" customHeight="1" x14ac:dyDescent="0.2">
      <c r="A18" s="557" t="s">
        <v>278</v>
      </c>
      <c r="B18" s="577"/>
      <c r="C18" s="559">
        <f>'F.F.M30%'!C21+'F.F.M.70%'!C21+'F.F.M.ESTIIMACIONES 2014'!C21</f>
        <v>1086792.833306784</v>
      </c>
      <c r="D18" s="559">
        <f>'F.F.M30%'!D21+'F.F.M.70%'!D21+'F.F.M.ESTIIMACIONES 2014'!D21</f>
        <v>1367940.6203206538</v>
      </c>
      <c r="E18" s="559">
        <f>'F.F.M30%'!E21+'F.F.M.70%'!E21+'F.F.M.ESTIIMACIONES 2014'!E21</f>
        <v>1040392.8084474512</v>
      </c>
      <c r="F18" s="559">
        <f>'F.F.M30%'!F21+'F.F.M.70%'!F21+'F.F.M.ESTIIMACIONES 2014'!F21</f>
        <v>1194997.0007835296</v>
      </c>
      <c r="G18" s="559">
        <f>'F.F.M30%'!G21+'F.F.M.70%'!G21+'F.F.M.ESTIIMACIONES 2014'!G21</f>
        <v>1183377.1498758926</v>
      </c>
      <c r="H18" s="559">
        <f>'F.F.M30%'!H21+'F.F.M.70%'!H21+'F.F.M.ESTIIMACIONES 2014'!H21</f>
        <v>1216556.7052776376</v>
      </c>
      <c r="I18" s="559">
        <f>'F.F.M30%'!I21+'F.F.M.70%'!I21+'F.F.M.ESTIIMACIONES 2014'!I21</f>
        <v>1171705.9245111293</v>
      </c>
      <c r="J18" s="559">
        <f>'F.F.M30%'!J21+'F.F.M.70%'!J21+'F.F.M.ESTIIMACIONES 2014'!J21</f>
        <v>1093698.5468481311</v>
      </c>
      <c r="K18" s="559">
        <f>'F.F.M30%'!K21+'F.F.M.70%'!K21+'F.F.M.ESTIIMACIONES 2014'!K21</f>
        <v>1140338.1565853215</v>
      </c>
      <c r="L18" s="559">
        <f>'F.F.M30%'!L21+'F.F.M.70%'!L21+'F.F.M.ESTIIMACIONES 2014'!L21</f>
        <v>995021.21438764059</v>
      </c>
      <c r="M18" s="559">
        <f>'F.F.M30%'!M21+'F.F.M.70%'!M21+'F.F.M.ESTIIMACIONES 2014'!M21</f>
        <v>1052321.5449835446</v>
      </c>
      <c r="N18" s="559">
        <f>'F.F.M30%'!N21+'F.F.M.70%'!N21+'F.F.M.ESTIIMACIONES 2014'!N21</f>
        <v>1132882.1049362109</v>
      </c>
      <c r="O18" s="560">
        <f t="shared" si="0"/>
        <v>13676024.610263925</v>
      </c>
    </row>
    <row r="19" spans="1:15" ht="12.75" customHeight="1" x14ac:dyDescent="0.2">
      <c r="A19" s="557" t="s">
        <v>279</v>
      </c>
      <c r="B19" s="577"/>
      <c r="C19" s="559">
        <f>'F.F.M30%'!C22+'F.F.M.70%'!C22+'F.F.M.ESTIIMACIONES 2014'!C22</f>
        <v>5666591.821254449</v>
      </c>
      <c r="D19" s="559">
        <f>'F.F.M30%'!D22+'F.F.M.70%'!D22+'F.F.M.ESTIIMACIONES 2014'!D22</f>
        <v>9888966.6755280606</v>
      </c>
      <c r="E19" s="559">
        <f>'F.F.M30%'!E22+'F.F.M.70%'!E22+'F.F.M.ESTIIMACIONES 2014'!E22</f>
        <v>4930957.3119786102</v>
      </c>
      <c r="F19" s="559">
        <f>'F.F.M30%'!F22+'F.F.M.70%'!F22+'F.F.M.ESTIIMACIONES 2014'!F22</f>
        <v>6835355.9497028515</v>
      </c>
      <c r="G19" s="559">
        <f>'F.F.M30%'!G22+'F.F.M.70%'!G22+'F.F.M.ESTIIMACIONES 2014'!G22</f>
        <v>10916390.698639696</v>
      </c>
      <c r="H19" s="559">
        <f>'F.F.M30%'!H22+'F.F.M.70%'!H22+'F.F.M.ESTIIMACIONES 2014'!H22</f>
        <v>10177489.951679321</v>
      </c>
      <c r="I19" s="559">
        <f>'F.F.M30%'!I22+'F.F.M.70%'!I22+'F.F.M.ESTIIMACIONES 2014'!I22</f>
        <v>5758606.2122102343</v>
      </c>
      <c r="J19" s="559">
        <f>'F.F.M30%'!J22+'F.F.M.70%'!J22+'F.F.M.ESTIIMACIONES 2014'!J22</f>
        <v>7511716.9590550307</v>
      </c>
      <c r="K19" s="559">
        <f>'F.F.M30%'!K22+'F.F.M.70%'!K22+'F.F.M.ESTIIMACIONES 2014'!K22</f>
        <v>6012542.3055548649</v>
      </c>
      <c r="L19" s="559">
        <f>'F.F.M30%'!L22+'F.F.M.70%'!L22+'F.F.M.ESTIIMACIONES 2014'!L22</f>
        <v>1755185.4433481311</v>
      </c>
      <c r="M19" s="559">
        <f>'F.F.M30%'!M22+'F.F.M.70%'!M22+'F.F.M.ESTIIMACIONES 2014'!M22</f>
        <v>6289014.7063147286</v>
      </c>
      <c r="N19" s="559">
        <f>'F.F.M30%'!N22+'F.F.M.70%'!N22+'F.F.M.ESTIIMACIONES 2014'!N22</f>
        <v>5641417.7382485298</v>
      </c>
      <c r="O19" s="560">
        <f t="shared" si="0"/>
        <v>81384235.773514494</v>
      </c>
    </row>
    <row r="20" spans="1:15" ht="12.75" customHeight="1" x14ac:dyDescent="0.2">
      <c r="A20" s="557" t="s">
        <v>159</v>
      </c>
      <c r="B20" s="577"/>
      <c r="C20" s="559">
        <f>'F.F.M30%'!C23+'F.F.M.70%'!C23+'F.F.M.ESTIIMACIONES 2014'!C23</f>
        <v>1391426.733321036</v>
      </c>
      <c r="D20" s="559">
        <f>'F.F.M30%'!D23+'F.F.M.70%'!D23+'F.F.M.ESTIIMACIONES 2014'!D23</f>
        <v>1794032.6961866431</v>
      </c>
      <c r="E20" s="559">
        <f>'F.F.M30%'!E23+'F.F.M.70%'!E23+'F.F.M.ESTIIMACIONES 2014'!E23</f>
        <v>1324381.4216382112</v>
      </c>
      <c r="F20" s="559">
        <f>'F.F.M30%'!F23+'F.F.M.70%'!F23+'F.F.M.ESTIIMACIONES 2014'!F23</f>
        <v>1539315.8763408149</v>
      </c>
      <c r="G20" s="559">
        <f>'F.F.M30%'!G23+'F.F.M.70%'!G23+'F.F.M.ESTIIMACIONES 2014'!G23</f>
        <v>1588522.6507286229</v>
      </c>
      <c r="H20" s="559">
        <f>'F.F.M30%'!H23+'F.F.M.70%'!H23+'F.F.M.ESTIIMACIONES 2014'!H23</f>
        <v>1616892.6827328783</v>
      </c>
      <c r="I20" s="559">
        <f>'F.F.M30%'!I23+'F.F.M.70%'!I23+'F.F.M.ESTIIMACIONES 2014'!I23</f>
        <v>1494714.5923809321</v>
      </c>
      <c r="J20" s="559">
        <f>'F.F.M30%'!J23+'F.F.M.70%'!J23+'F.F.M.ESTIIMACIONES 2014'!J23</f>
        <v>1428260.8312413094</v>
      </c>
      <c r="K20" s="559">
        <f>'F.F.M30%'!K23+'F.F.M.70%'!K23+'F.F.M.ESTIIMACIONES 2014'!K23</f>
        <v>1461014.1230480431</v>
      </c>
      <c r="L20" s="559">
        <f>'F.F.M30%'!L23+'F.F.M.70%'!L23+'F.F.M.ESTIIMACIONES 2014'!L23</f>
        <v>1220813.3472796315</v>
      </c>
      <c r="M20" s="559">
        <f>'F.F.M30%'!M23+'F.F.M.70%'!M23+'F.F.M.ESTIIMACIONES 2014'!M23</f>
        <v>1359704.8285355724</v>
      </c>
      <c r="N20" s="559">
        <f>'F.F.M30%'!N23+'F.F.M.70%'!N23+'F.F.M.ESTIIMACIONES 2014'!N23</f>
        <v>1446327.1869840338</v>
      </c>
      <c r="O20" s="560">
        <f t="shared" si="0"/>
        <v>17665406.970417727</v>
      </c>
    </row>
    <row r="21" spans="1:15" ht="12.75" customHeight="1" x14ac:dyDescent="0.2">
      <c r="A21" s="557" t="s">
        <v>160</v>
      </c>
      <c r="B21" s="577"/>
      <c r="C21" s="559">
        <f>'F.F.M30%'!C24+'F.F.M.70%'!C24+'F.F.M.ESTIIMACIONES 2014'!C24</f>
        <v>16468134.344803505</v>
      </c>
      <c r="D21" s="559">
        <f>'F.F.M30%'!D24+'F.F.M.70%'!D24+'F.F.M.ESTIIMACIONES 2014'!D24</f>
        <v>22291802.470106095</v>
      </c>
      <c r="E21" s="559">
        <f>'F.F.M30%'!E24+'F.F.M.70%'!E24+'F.F.M.ESTIIMACIONES 2014'!E24</f>
        <v>15485011.302183131</v>
      </c>
      <c r="F21" s="559">
        <f>'F.F.M30%'!F24+'F.F.M.70%'!F24+'F.F.M.ESTIIMACIONES 2014'!F24</f>
        <v>18450663.755213473</v>
      </c>
      <c r="G21" s="559">
        <f>'F.F.M30%'!G24+'F.F.M.70%'!G24+'F.F.M.ESTIIMACIONES 2014'!G24</f>
        <v>20623691.130085632</v>
      </c>
      <c r="H21" s="559">
        <f>'F.F.M30%'!H24+'F.F.M.70%'!H24+'F.F.M.ESTIIMACIONES 2014'!H24</f>
        <v>20609235.272195689</v>
      </c>
      <c r="I21" s="559">
        <f>'F.F.M30%'!I24+'F.F.M.70%'!I24+'F.F.M.ESTIIMACIONES 2014'!I24</f>
        <v>17555889.429406594</v>
      </c>
      <c r="J21" s="559">
        <f>'F.F.M30%'!J24+'F.F.M.70%'!J24+'F.F.M.ESTIIMACIONES 2014'!J24</f>
        <v>17598897.428870425</v>
      </c>
      <c r="K21" s="559">
        <f>'F.F.M30%'!K24+'F.F.M.70%'!K24+'F.F.M.ESTIIMACIONES 2014'!K24</f>
        <v>17317372.075109422</v>
      </c>
      <c r="L21" s="559">
        <f>'F.F.M30%'!L24+'F.F.M.70%'!L24+'F.F.M.ESTIIMACIONES 2014'!L24</f>
        <v>13130399.388662986</v>
      </c>
      <c r="M21" s="559">
        <f>'F.F.M30%'!M24+'F.F.M.70%'!M24+'F.F.M.ESTIIMACIONES 2014'!M24</f>
        <v>16400771.219585611</v>
      </c>
      <c r="N21" s="559">
        <f>'F.F.M30%'!N24+'F.F.M.70%'!N24+'F.F.M.ESTIIMACIONES 2014'!N24</f>
        <v>17015941.525364649</v>
      </c>
      <c r="O21" s="560">
        <f t="shared" si="0"/>
        <v>212947809.34158719</v>
      </c>
    </row>
    <row r="22" spans="1:15" ht="12.75" customHeight="1" x14ac:dyDescent="0.2">
      <c r="A22" s="557" t="s">
        <v>161</v>
      </c>
      <c r="B22" s="577"/>
      <c r="C22" s="559">
        <f>'F.F.M30%'!C25+'F.F.M.70%'!C25+'F.F.M.ESTIIMACIONES 2014'!C25</f>
        <v>1578808.4276351379</v>
      </c>
      <c r="D22" s="559">
        <f>'F.F.M30%'!D25+'F.F.M.70%'!D25+'F.F.M.ESTIIMACIONES 2014'!D25</f>
        <v>2114830.9767874731</v>
      </c>
      <c r="E22" s="559">
        <f>'F.F.M30%'!E25+'F.F.M.70%'!E25+'F.F.M.ESTIIMACIONES 2014'!E25</f>
        <v>1488549.2123515522</v>
      </c>
      <c r="F22" s="559">
        <f>'F.F.M30%'!F25+'F.F.M.70%'!F25+'F.F.M.ESTIIMACIONES 2014'!F25</f>
        <v>1763984.3942856318</v>
      </c>
      <c r="G22" s="559">
        <f>'F.F.M30%'!G25+'F.F.M.70%'!G25+'F.F.M.ESTIIMACIONES 2014'!G25</f>
        <v>1938814.3075824627</v>
      </c>
      <c r="H22" s="559">
        <f>'F.F.M30%'!H25+'F.F.M.70%'!H25+'F.F.M.ESTIIMACIONES 2014'!H25</f>
        <v>1944804.2864941442</v>
      </c>
      <c r="I22" s="559">
        <f>'F.F.M30%'!I25+'F.F.M.70%'!I25+'F.F.M.ESTIIMACIONES 2014'!I25</f>
        <v>1685928.8995816812</v>
      </c>
      <c r="J22" s="559">
        <f>'F.F.M30%'!J25+'F.F.M.70%'!J25+'F.F.M.ESTIIMACIONES 2014'!J25</f>
        <v>1672582.2828381876</v>
      </c>
      <c r="K22" s="559">
        <f>'F.F.M30%'!K25+'F.F.M.70%'!K25+'F.F.M.ESTIIMACIONES 2014'!K25</f>
        <v>1659685.2756709605</v>
      </c>
      <c r="L22" s="559">
        <f>'F.F.M30%'!L25+'F.F.M.70%'!L25+'F.F.M.ESTIIMACIONES 2014'!L25</f>
        <v>1286584.9808190186</v>
      </c>
      <c r="M22" s="559">
        <f>'F.F.M30%'!M25+'F.F.M.70%'!M25+'F.F.M.ESTIIMACIONES 2014'!M25</f>
        <v>1565862.0703396318</v>
      </c>
      <c r="N22" s="559">
        <f>'F.F.M30%'!N25+'F.F.M.70%'!N25+'F.F.M.ESTIIMACIONES 2014'!N25</f>
        <v>1633474.351994423</v>
      </c>
      <c r="O22" s="560">
        <f t="shared" si="0"/>
        <v>20333909.466380306</v>
      </c>
    </row>
    <row r="23" spans="1:15" ht="12.75" customHeight="1" thickBot="1" x14ac:dyDescent="0.25">
      <c r="A23" s="557" t="s">
        <v>162</v>
      </c>
      <c r="B23" s="577"/>
      <c r="C23" s="559">
        <f>'F.F.M30%'!C26+'F.F.M.70%'!C26+'F.F.M.ESTIIMACIONES 2014'!C26</f>
        <v>1456746.9662373052</v>
      </c>
      <c r="D23" s="559">
        <f>'F.F.M30%'!D26+'F.F.M.70%'!D26+'F.F.M.ESTIIMACIONES 2014'!D26</f>
        <v>2124706.7910489608</v>
      </c>
      <c r="E23" s="559">
        <f>'F.F.M30%'!E26+'F.F.M.70%'!E26+'F.F.M.ESTIIMACIONES 2014'!E26</f>
        <v>1342412.4942826154</v>
      </c>
      <c r="F23" s="559">
        <f>'F.F.M30%'!F26+'F.F.M.70%'!F26+'F.F.M.ESTIIMACIONES 2014'!F26</f>
        <v>1665634.1781859426</v>
      </c>
      <c r="G23" s="559">
        <f>'F.F.M30%'!G26+'F.F.M.70%'!G26+'F.F.M.ESTIIMACIONES 2014'!G26</f>
        <v>2087451.5807397426</v>
      </c>
      <c r="H23" s="559">
        <f>'F.F.M30%'!H26+'F.F.M.70%'!H26+'F.F.M.ESTIIMACIONES 2014'!H26</f>
        <v>2035620.7858532374</v>
      </c>
      <c r="I23" s="559">
        <f>'F.F.M30%'!I26+'F.F.M.70%'!I26+'F.F.M.ESTIIMACIONES 2014'!I26</f>
        <v>1533525.325338833</v>
      </c>
      <c r="J23" s="559">
        <f>'F.F.M30%'!J26+'F.F.M.70%'!J26+'F.F.M.ESTIIMACIONES 2014'!J26</f>
        <v>1657062.7550133816</v>
      </c>
      <c r="K23" s="559">
        <f>'F.F.M30%'!K26+'F.F.M.70%'!K26+'F.F.M.ESTIIMACIONES 2014'!K26</f>
        <v>1535570.3292794463</v>
      </c>
      <c r="L23" s="559">
        <f>'F.F.M30%'!L26+'F.F.M.70%'!L26+'F.F.M.ESTIIMACIONES 2014'!L26</f>
        <v>971189.60274905188</v>
      </c>
      <c r="M23" s="559">
        <f>'F.F.M30%'!M26+'F.F.M.70%'!M26+'F.F.M.ESTIIMACIONES 2014'!M26</f>
        <v>1495256.486149224</v>
      </c>
      <c r="N23" s="559">
        <f>'F.F.M30%'!N26+'F.F.M.70%'!N26+'F.F.M.ESTIIMACIONES 2014'!N26</f>
        <v>1490487.7322963108</v>
      </c>
      <c r="O23" s="560">
        <f t="shared" si="0"/>
        <v>19395665.027174052</v>
      </c>
    </row>
    <row r="24" spans="1:15" ht="13.5" thickBot="1" x14ac:dyDescent="0.25">
      <c r="A24" s="562" t="s">
        <v>280</v>
      </c>
      <c r="B24" s="578">
        <f t="shared" ref="B24:N24" si="1">SUM(B4:B23)</f>
        <v>0</v>
      </c>
      <c r="C24" s="564">
        <f t="shared" si="1"/>
        <v>45767327.999999993</v>
      </c>
      <c r="D24" s="564">
        <f t="shared" si="1"/>
        <v>65614901.000000007</v>
      </c>
      <c r="E24" s="564">
        <f t="shared" si="1"/>
        <v>42379059.000000007</v>
      </c>
      <c r="F24" s="564">
        <f t="shared" si="1"/>
        <v>52080427.999999993</v>
      </c>
      <c r="G24" s="564">
        <f t="shared" si="1"/>
        <v>63622938</v>
      </c>
      <c r="H24" s="564">
        <f t="shared" si="1"/>
        <v>62371037</v>
      </c>
      <c r="I24" s="564">
        <f t="shared" si="1"/>
        <v>48324313.999999993</v>
      </c>
      <c r="J24" s="564">
        <f t="shared" si="1"/>
        <v>51313824</v>
      </c>
      <c r="K24" s="564">
        <f t="shared" si="1"/>
        <v>48216196</v>
      </c>
      <c r="L24" s="564">
        <f t="shared" si="1"/>
        <v>31929664.000000004</v>
      </c>
      <c r="M24" s="564">
        <f t="shared" si="1"/>
        <v>46646017.000000007</v>
      </c>
      <c r="N24" s="564">
        <f t="shared" si="1"/>
        <v>46936987.999999993</v>
      </c>
      <c r="O24" s="564">
        <f t="shared" si="0"/>
        <v>605202694</v>
      </c>
    </row>
    <row r="25" spans="1:15" x14ac:dyDescent="0.2">
      <c r="A25" s="565"/>
      <c r="B25" s="565"/>
      <c r="C25" s="565"/>
      <c r="D25" s="565"/>
      <c r="E25" s="565"/>
      <c r="F25" s="565"/>
      <c r="G25" s="565"/>
      <c r="H25" s="565"/>
      <c r="I25" s="565"/>
      <c r="J25" s="565"/>
      <c r="K25" s="565"/>
      <c r="L25" s="565"/>
      <c r="M25" s="565"/>
      <c r="N25" s="565"/>
      <c r="O25" s="565"/>
    </row>
    <row r="26" spans="1:15" x14ac:dyDescent="0.2">
      <c r="A26" s="566" t="s">
        <v>281</v>
      </c>
      <c r="M26" s="561"/>
      <c r="O26" s="561"/>
    </row>
    <row r="27" spans="1:15" x14ac:dyDescent="0.2">
      <c r="O27" s="561"/>
    </row>
    <row r="28" spans="1:15" x14ac:dyDescent="0.2">
      <c r="M28" s="561"/>
    </row>
    <row r="29" spans="1:15" x14ac:dyDescent="0.2">
      <c r="O29" s="561"/>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rgb="FFFFFF00"/>
  </sheetPr>
  <dimension ref="A1:Q26"/>
  <sheetViews>
    <sheetView workbookViewId="0">
      <selection activeCell="B32" sqref="B32"/>
    </sheetView>
  </sheetViews>
  <sheetFormatPr baseColWidth="10" defaultRowHeight="12.75" x14ac:dyDescent="0.2"/>
  <cols>
    <col min="1" max="1" width="16.5703125" style="552" customWidth="1"/>
    <col min="2" max="2" width="9.28515625" style="552" hidden="1" customWidth="1"/>
    <col min="3" max="7" width="7.85546875" style="552" bestFit="1" customWidth="1"/>
    <col min="8" max="10" width="7.85546875" style="552" customWidth="1"/>
    <col min="11" max="11" width="9.42578125" style="552" customWidth="1"/>
    <col min="12" max="12" width="7.85546875" style="552" customWidth="1"/>
    <col min="13" max="13" width="9.7109375" style="552" customWidth="1"/>
    <col min="14" max="14" width="9" style="552" customWidth="1"/>
    <col min="15" max="15" width="8.7109375" style="552" bestFit="1" customWidth="1"/>
    <col min="16" max="16" width="12.7109375" style="552" bestFit="1" customWidth="1"/>
    <col min="17" max="16384" width="11.42578125" style="552"/>
  </cols>
  <sheetData>
    <row r="1" spans="1:17" x14ac:dyDescent="0.2">
      <c r="A1" s="1215" t="s">
        <v>342</v>
      </c>
      <c r="B1" s="1215"/>
      <c r="C1" s="1215"/>
      <c r="D1" s="1215"/>
      <c r="E1" s="1215"/>
      <c r="F1" s="1215"/>
      <c r="G1" s="1215"/>
      <c r="H1" s="1215"/>
      <c r="I1" s="1215"/>
      <c r="J1" s="1215"/>
      <c r="K1" s="1215"/>
      <c r="L1" s="1215"/>
      <c r="M1" s="1215"/>
      <c r="N1" s="1215"/>
      <c r="O1" s="1215"/>
    </row>
    <row r="2" spans="1:17" ht="13.5" thickBot="1" x14ac:dyDescent="0.25"/>
    <row r="3" spans="1:17" ht="23.25" thickBot="1" x14ac:dyDescent="0.25">
      <c r="A3" s="553" t="s">
        <v>305</v>
      </c>
      <c r="B3" s="554" t="s">
        <v>273</v>
      </c>
      <c r="C3" s="553" t="s">
        <v>1</v>
      </c>
      <c r="D3" s="555" t="s">
        <v>2</v>
      </c>
      <c r="E3" s="553" t="s">
        <v>3</v>
      </c>
      <c r="F3" s="555" t="s">
        <v>4</v>
      </c>
      <c r="G3" s="553" t="s">
        <v>5</v>
      </c>
      <c r="H3" s="553" t="s">
        <v>6</v>
      </c>
      <c r="I3" s="553" t="s">
        <v>7</v>
      </c>
      <c r="J3" s="555" t="s">
        <v>8</v>
      </c>
      <c r="K3" s="553" t="s">
        <v>9</v>
      </c>
      <c r="L3" s="555" t="s">
        <v>10</v>
      </c>
      <c r="M3" s="553" t="s">
        <v>11</v>
      </c>
      <c r="N3" s="553" t="s">
        <v>12</v>
      </c>
      <c r="O3" s="556" t="s">
        <v>165</v>
      </c>
    </row>
    <row r="4" spans="1:17" ht="12.75" customHeight="1" x14ac:dyDescent="0.2">
      <c r="A4" s="557" t="s">
        <v>274</v>
      </c>
      <c r="B4" s="568"/>
      <c r="C4" s="559">
        <f>'[4] FOCO INCREMENTO'!C7+'[4] FOCO ESTIMACION'!C7</f>
        <v>293071.38094113616</v>
      </c>
      <c r="D4" s="559">
        <f>'[4] FOCO INCREMENTO'!D7+'[4] FOCO ESTIMACION'!D7</f>
        <v>295230.63445575966</v>
      </c>
      <c r="E4" s="559">
        <f>'[4] FOCO INCREMENTO'!E7+'[4] FOCO ESTIMACION'!E7</f>
        <v>287468.89670337556</v>
      </c>
      <c r="F4" s="559">
        <f>'[4] FOCO INCREMENTO'!F7+'[4] FOCO ESTIMACION'!F7</f>
        <v>305241.69569530652</v>
      </c>
      <c r="G4" s="559">
        <f>'[4] FOCO INCREMENTO'!G7+'[4] FOCO ESTIMACION'!G7</f>
        <v>302443.59145698301</v>
      </c>
      <c r="H4" s="559">
        <f>'[4] FOCO INCREMENTO'!H7+'[4] FOCO ESTIMACION'!H7</f>
        <v>310935.35706946446</v>
      </c>
      <c r="I4" s="559">
        <f>'[4] FOCO INCREMENTO'!I7+'[4] FOCO ESTIMACION'!I7</f>
        <v>299723.71469322289</v>
      </c>
      <c r="J4" s="559">
        <f>'[4] FOCO INCREMENTO'!J7+'[4] FOCO ESTIMACION'!J7</f>
        <v>303799.93898461858</v>
      </c>
      <c r="K4" s="559">
        <f>'[4] FOCO INCREMENTO'!K7+'[4] FOCO ESTIMACION'!K7</f>
        <v>295860.99207054696</v>
      </c>
      <c r="L4" s="559">
        <f>'[4] FOCO INCREMENTO'!L7+'[4] FOCO ESTIMACION'!L7</f>
        <v>287253.18242701917</v>
      </c>
      <c r="M4" s="559">
        <f>'[4] FOCO INCREMENTO'!M7+'[4] FOCO ESTIMACION'!M7</f>
        <v>292569.28234723891</v>
      </c>
      <c r="N4" s="559">
        <f>'[4] FOCO INCREMENTO'!N7+'[4] FOCO ESTIMACION'!N7</f>
        <v>271071.73589895893</v>
      </c>
      <c r="O4" s="560">
        <f>SUM(C4:N4)</f>
        <v>3544670.402743631</v>
      </c>
      <c r="P4" s="561"/>
      <c r="Q4" s="561"/>
    </row>
    <row r="5" spans="1:17" ht="12.75" customHeight="1" x14ac:dyDescent="0.2">
      <c r="A5" s="557" t="s">
        <v>144</v>
      </c>
      <c r="B5" s="569"/>
      <c r="C5" s="559">
        <f>'[4] FOCO INCREMENTO'!C8+'[4] FOCO ESTIMACION'!C8</f>
        <v>167923.75088356718</v>
      </c>
      <c r="D5" s="559">
        <f>'[4] FOCO INCREMENTO'!D8+'[4] FOCO ESTIMACION'!D8</f>
        <v>169316.44590889825</v>
      </c>
      <c r="E5" s="559">
        <f>'[4] FOCO INCREMENTO'!E8+'[4] FOCO ESTIMACION'!E8</f>
        <v>143476.72168163006</v>
      </c>
      <c r="F5" s="559">
        <f>'[4] FOCO INCREMENTO'!F8+'[4] FOCO ESTIMACION'!F8</f>
        <v>167657.19351858451</v>
      </c>
      <c r="G5" s="559">
        <f>'[4] FOCO INCREMENTO'!G8+'[4] FOCO ESTIMACION'!G8</f>
        <v>155148.51064548985</v>
      </c>
      <c r="H5" s="559">
        <f>'[4] FOCO INCREMENTO'!H8+'[4] FOCO ESTIMACION'!H8</f>
        <v>169816.08130581549</v>
      </c>
      <c r="I5" s="559">
        <f>'[4] FOCO INCREMENTO'!I8+'[4] FOCO ESTIMACION'!I8</f>
        <v>152989.85268948891</v>
      </c>
      <c r="J5" s="559">
        <f>'[4] FOCO INCREMENTO'!J8+'[4] FOCO ESTIMACION'!J8</f>
        <v>158269.95750445744</v>
      </c>
      <c r="K5" s="559">
        <f>'[4] FOCO INCREMENTO'!K8+'[4] FOCO ESTIMACION'!K8</f>
        <v>157137.50561906997</v>
      </c>
      <c r="L5" s="559">
        <f>'[4] FOCO INCREMENTO'!L8+'[4] FOCO ESTIMACION'!L8</f>
        <v>140750.05808218033</v>
      </c>
      <c r="M5" s="559">
        <f>'[4] FOCO INCREMENTO'!M8+'[4] FOCO ESTIMACION'!M8</f>
        <v>151776.72747538111</v>
      </c>
      <c r="N5" s="559">
        <f>'[4] FOCO INCREMENTO'!N8+'[4] FOCO ESTIMACION'!N8</f>
        <v>168514.19251680683</v>
      </c>
      <c r="O5" s="560">
        <f t="shared" ref="O5:O23" si="0">SUM(C5:N5)</f>
        <v>1902776.99783137</v>
      </c>
      <c r="P5" s="561"/>
    </row>
    <row r="6" spans="1:17" ht="12.75" customHeight="1" x14ac:dyDescent="0.2">
      <c r="A6" s="557" t="s">
        <v>145</v>
      </c>
      <c r="B6" s="569"/>
      <c r="C6" s="559">
        <f>'[4] FOCO INCREMENTO'!C9+'[4] FOCO ESTIMACION'!C9</f>
        <v>162497.33002536252</v>
      </c>
      <c r="D6" s="559">
        <f>'[4] FOCO INCREMENTO'!D9+'[4] FOCO ESTIMACION'!D9</f>
        <v>163917.36695336353</v>
      </c>
      <c r="E6" s="559">
        <f>'[4] FOCO INCREMENTO'!E9+'[4] FOCO ESTIMACION'!E9</f>
        <v>128959.04112502883</v>
      </c>
      <c r="F6" s="559">
        <f>'[4] FOCO INCREMENTO'!F9+'[4] FOCO ESTIMACION'!F9</f>
        <v>158870.7599967175</v>
      </c>
      <c r="G6" s="559">
        <f>'[4] FOCO INCREMENTO'!G9+'[4] FOCO ESTIMACION'!G9</f>
        <v>141692.14083376186</v>
      </c>
      <c r="H6" s="559">
        <f>'[4] FOCO INCREMENTO'!H9+'[4] FOCO ESTIMACION'!H9</f>
        <v>160446.45806968526</v>
      </c>
      <c r="I6" s="559">
        <f>'[4] FOCO INCREMENTO'!I9+'[4] FOCO ESTIMACION'!I9</f>
        <v>139323.96237907078</v>
      </c>
      <c r="J6" s="559">
        <f>'[4] FOCO INCREMENTO'!J9+'[4] FOCO ESTIMACION'!J9</f>
        <v>145803.48516778366</v>
      </c>
      <c r="K6" s="559">
        <f>'[4] FOCO INCREMENTO'!K9+'[4] FOCO ESTIMACION'!K9</f>
        <v>146297.23320160009</v>
      </c>
      <c r="L6" s="559">
        <f>'[4] FOCO INCREMENTO'!L9+'[4] FOCO ESTIMACION'!L9</f>
        <v>125109.31781222334</v>
      </c>
      <c r="M6" s="559">
        <f>'[4] FOCO INCREMENTO'!M9+'[4] FOCO ESTIMACION'!M9</f>
        <v>139492.95653689533</v>
      </c>
      <c r="N6" s="559">
        <f>'[4] FOCO INCREMENTO'!N9+'[4] FOCO ESTIMACION'!N9</f>
        <v>169208.51245931126</v>
      </c>
      <c r="O6" s="560">
        <f t="shared" si="0"/>
        <v>1781618.5645608038</v>
      </c>
      <c r="P6" s="561"/>
    </row>
    <row r="7" spans="1:17" ht="12.75" customHeight="1" x14ac:dyDescent="0.2">
      <c r="A7" s="557" t="s">
        <v>275</v>
      </c>
      <c r="B7" s="569"/>
      <c r="C7" s="559">
        <f>'[4] FOCO INCREMENTO'!C10+'[4] FOCO ESTIMACION'!C10</f>
        <v>648950.14567954827</v>
      </c>
      <c r="D7" s="559">
        <f>'[4] FOCO INCREMENTO'!D10+'[4] FOCO ESTIMACION'!D10</f>
        <v>653955.33323754231</v>
      </c>
      <c r="E7" s="559">
        <f>'[4] FOCO INCREMENTO'!E10+'[4] FOCO ESTIMACION'!E10</f>
        <v>605958.76980175229</v>
      </c>
      <c r="F7" s="559">
        <f>'[4] FOCO INCREMENTO'!F10+'[4] FOCO ESTIMACION'!F10</f>
        <v>665471.95690336078</v>
      </c>
      <c r="G7" s="559">
        <f>'[4] FOCO INCREMENTO'!G10+'[4] FOCO ESTIMACION'!G10</f>
        <v>643569.9239145224</v>
      </c>
      <c r="H7" s="559">
        <f>'[4] FOCO INCREMENTO'!H10+'[4] FOCO ESTIMACION'!H10</f>
        <v>676490.25220666104</v>
      </c>
      <c r="I7" s="559">
        <f>'[4] FOCO INCREMENTO'!I10+'[4] FOCO ESTIMACION'!I10</f>
        <v>636682.82601613738</v>
      </c>
      <c r="J7" s="559">
        <f>'[4] FOCO INCREMENTO'!J10+'[4] FOCO ESTIMACION'!J10</f>
        <v>649949.57533782744</v>
      </c>
      <c r="K7" s="559">
        <f>'[4] FOCO INCREMENTO'!K10+'[4] FOCO ESTIMACION'!K10</f>
        <v>637290.65657251002</v>
      </c>
      <c r="L7" s="559">
        <f>'[4] FOCO INCREMENTO'!L10+'[4] FOCO ESTIMACION'!L10</f>
        <v>601732.138300444</v>
      </c>
      <c r="M7" s="559">
        <f>'[4] FOCO INCREMENTO'!M10+'[4] FOCO ESTIMACION'!M10</f>
        <v>624997.48473503243</v>
      </c>
      <c r="N7" s="559">
        <f>'[4] FOCO INCREMENTO'!N10+'[4] FOCO ESTIMACION'!N10</f>
        <v>619240.93385230529</v>
      </c>
      <c r="O7" s="560">
        <f t="shared" si="0"/>
        <v>7664289.9965576446</v>
      </c>
      <c r="P7" s="561"/>
    </row>
    <row r="8" spans="1:17" ht="12.75" customHeight="1" x14ac:dyDescent="0.2">
      <c r="A8" s="557" t="s">
        <v>147</v>
      </c>
      <c r="B8" s="569"/>
      <c r="C8" s="559">
        <f>'[4] FOCO INCREMENTO'!C11+'[4] FOCO ESTIMACION'!C11</f>
        <v>471383.47329630965</v>
      </c>
      <c r="D8" s="559">
        <f>'[4] FOCO INCREMENTO'!D11+'[4] FOCO ESTIMACION'!D11</f>
        <v>474836.25750203704</v>
      </c>
      <c r="E8" s="559">
        <f>'[4] FOCO INCREMENTO'!E11+'[4] FOCO ESTIMACION'!E11</f>
        <v>465133.18937778141</v>
      </c>
      <c r="F8" s="559">
        <f>'[4] FOCO INCREMENTO'!F11+'[4] FOCO ESTIMACION'!F11</f>
        <v>491899.73568948405</v>
      </c>
      <c r="G8" s="559">
        <f>'[4] FOCO INCREMENTO'!G11+'[4] FOCO ESTIMACION'!G11</f>
        <v>488816.94766019669</v>
      </c>
      <c r="H8" s="559">
        <f>'[4] FOCO INCREMENTO'!H11+'[4] FOCO ESTIMACION'!H11</f>
        <v>501201.02044914151</v>
      </c>
      <c r="I8" s="559">
        <f>'[4] FOCO INCREMENTO'!I11+'[4] FOCO ESTIMACION'!I11</f>
        <v>484520.26060342306</v>
      </c>
      <c r="J8" s="559">
        <f>'[4] FOCO INCREMENTO'!J11+'[4] FOCO ESTIMACION'!J11</f>
        <v>490693.7636842819</v>
      </c>
      <c r="K8" s="559">
        <f>'[4] FOCO INCREMENTO'!K11+'[4] FOCO ESTIMACION'!K11</f>
        <v>477480.41233588377</v>
      </c>
      <c r="L8" s="559">
        <f>'[4] FOCO INCREMENTO'!L11+'[4] FOCO ESTIMACION'!L11</f>
        <v>465124.6389111054</v>
      </c>
      <c r="M8" s="559">
        <f>'[4] FOCO INCREMENTO'!M11+'[4] FOCO ESTIMACION'!M11</f>
        <v>472637.66870605573</v>
      </c>
      <c r="N8" s="559">
        <f>'[4] FOCO INCREMENTO'!N11+'[4] FOCO ESTIMACION'!N11</f>
        <v>434283.17430317326</v>
      </c>
      <c r="O8" s="560">
        <f t="shared" si="0"/>
        <v>5718010.5425188737</v>
      </c>
      <c r="P8" s="561"/>
    </row>
    <row r="9" spans="1:17" ht="12.75" customHeight="1" x14ac:dyDescent="0.2">
      <c r="A9" s="557" t="s">
        <v>276</v>
      </c>
      <c r="B9" s="569"/>
      <c r="C9" s="559">
        <f>'[4] FOCO INCREMENTO'!C12+'[4] FOCO ESTIMACION'!C12</f>
        <v>495784.42770370154</v>
      </c>
      <c r="D9" s="559">
        <f>'[4] FOCO INCREMENTO'!D12+'[4] FOCO ESTIMACION'!D12</f>
        <v>499216.59407409781</v>
      </c>
      <c r="E9" s="559">
        <f>'[4] FOCO INCREMENTO'!E12+'[4] FOCO ESTIMACION'!E12</f>
        <v>516438.24173897039</v>
      </c>
      <c r="F9" s="559">
        <f>'[4] FOCO INCREMENTO'!F12+'[4] FOCO ESTIMACION'!F12</f>
        <v>526644.89675602317</v>
      </c>
      <c r="G9" s="559">
        <f>'[4] FOCO INCREMENTO'!G12+'[4] FOCO ESTIMACION'!G12</f>
        <v>537384.26656664128</v>
      </c>
      <c r="H9" s="559">
        <f>'[4] FOCO INCREMENTO'!H12+'[4] FOCO ESTIMACION'!H12</f>
        <v>537842.39396935108</v>
      </c>
      <c r="I9" s="559">
        <f>'[4] FOCO INCREMENTO'!I12+'[4] FOCO ESTIMACION'!I12</f>
        <v>533634.70656488149</v>
      </c>
      <c r="J9" s="559">
        <f>'[4] FOCO INCREMENTO'!J12+'[4] FOCO ESTIMACION'!J12</f>
        <v>536352.64733775321</v>
      </c>
      <c r="K9" s="559">
        <f>'[4] FOCO INCREMENTO'!K12+'[4] FOCO ESTIMACION'!K12</f>
        <v>518075.18389640079</v>
      </c>
      <c r="L9" s="559">
        <f>'[4] FOCO INCREMENTO'!L12+'[4] FOCO ESTIMACION'!L12</f>
        <v>519766.61006429675</v>
      </c>
      <c r="M9" s="559">
        <f>'[4] FOCO INCREMENTO'!M12+'[4] FOCO ESTIMACION'!M12</f>
        <v>517436.63183014223</v>
      </c>
      <c r="N9" s="559">
        <f>'[4] FOCO INCREMENTO'!N12+'[4] FOCO ESTIMACION'!N12</f>
        <v>439845.47884661314</v>
      </c>
      <c r="O9" s="560">
        <f t="shared" si="0"/>
        <v>6178422.0793488724</v>
      </c>
      <c r="P9" s="561"/>
    </row>
    <row r="10" spans="1:17" ht="12.75" customHeight="1" x14ac:dyDescent="0.2">
      <c r="A10" s="557" t="s">
        <v>149</v>
      </c>
      <c r="B10" s="569"/>
      <c r="C10" s="559">
        <f>'[4] FOCO INCREMENTO'!C13+'[4] FOCO ESTIMACION'!C13</f>
        <v>198742.42751254898</v>
      </c>
      <c r="D10" s="559">
        <f>'[4] FOCO INCREMENTO'!D13+'[4] FOCO ESTIMACION'!D13</f>
        <v>200370.80165246839</v>
      </c>
      <c r="E10" s="559">
        <f>'[4] FOCO INCREMENTO'!E13+'[4] FOCO ESTIMACION'!E13</f>
        <v>172529.29132417578</v>
      </c>
      <c r="F10" s="559">
        <f>'[4] FOCO INCREMENTO'!F13+'[4] FOCO ESTIMACION'!F13</f>
        <v>199354.43170012755</v>
      </c>
      <c r="G10" s="559">
        <f>'[4] FOCO INCREMENTO'!G13+'[4] FOCO ESTIMACION'!G13</f>
        <v>185947.12146230042</v>
      </c>
      <c r="H10" s="559">
        <f>'[4] FOCO INCREMENTO'!H13+'[4] FOCO ESTIMACION'!H13</f>
        <v>202050.89665968972</v>
      </c>
      <c r="I10" s="559">
        <f>'[4] FOCO INCREMENTO'!I13+'[4] FOCO ESTIMACION'!I13</f>
        <v>183469.18297952466</v>
      </c>
      <c r="J10" s="559">
        <f>'[4] FOCO INCREMENTO'!J13+'[4] FOCO ESTIMACION'!J13</f>
        <v>189341.12043138896</v>
      </c>
      <c r="K10" s="559">
        <f>'[4] FOCO INCREMENTO'!K13+'[4] FOCO ESTIMACION'!K13</f>
        <v>187563.16699302883</v>
      </c>
      <c r="L10" s="559">
        <f>'[4] FOCO INCREMENTO'!L13+'[4] FOCO ESTIMACION'!L13</f>
        <v>169635.68033925485</v>
      </c>
      <c r="M10" s="559">
        <f>'[4] FOCO INCREMENTO'!M13+'[4] FOCO ESTIMACION'!M13</f>
        <v>181663.67075794237</v>
      </c>
      <c r="N10" s="559">
        <f>'[4] FOCO INCREMENTO'!N13+'[4] FOCO ESTIMACION'!N13</f>
        <v>197750.75778297905</v>
      </c>
      <c r="O10" s="560">
        <f t="shared" si="0"/>
        <v>2268418.5495954296</v>
      </c>
      <c r="P10" s="561"/>
    </row>
    <row r="11" spans="1:17" ht="12.75" customHeight="1" x14ac:dyDescent="0.2">
      <c r="A11" s="557" t="s">
        <v>150</v>
      </c>
      <c r="B11" s="569"/>
      <c r="C11" s="559">
        <f>'[4] FOCO INCREMENTO'!C14+'[4] FOCO ESTIMACION'!C14</f>
        <v>222371.49636443221</v>
      </c>
      <c r="D11" s="559">
        <f>'[4] FOCO INCREMENTO'!D14+'[4] FOCO ESTIMACION'!D14</f>
        <v>224071.95718349898</v>
      </c>
      <c r="E11" s="559">
        <f>'[4] FOCO INCREMENTO'!E14+'[4] FOCO ESTIMACION'!E14</f>
        <v>209638.67191565505</v>
      </c>
      <c r="F11" s="559">
        <f>'[4] FOCO INCREMENTO'!F14+'[4] FOCO ESTIMACION'!F14</f>
        <v>228714.31185895676</v>
      </c>
      <c r="G11" s="559">
        <f>'[4] FOCO INCREMENTO'!G14+'[4] FOCO ESTIMACION'!G14</f>
        <v>222235.66834534577</v>
      </c>
      <c r="H11" s="559">
        <f>'[4] FOCO INCREMENTO'!H14+'[4] FOCO ESTIMACION'!H14</f>
        <v>232593.73300999656</v>
      </c>
      <c r="I11" s="559">
        <f>'[4] FOCO INCREMENTO'!I14+'[4] FOCO ESTIMACION'!I14</f>
        <v>219932.20285984827</v>
      </c>
      <c r="J11" s="559">
        <f>'[4] FOCO INCREMENTO'!J14+'[4] FOCO ESTIMACION'!J14</f>
        <v>224201.10509026566</v>
      </c>
      <c r="K11" s="559">
        <f>'[4] FOCO INCREMENTO'!K14+'[4] FOCO ESTIMACION'!K14</f>
        <v>219541.81624763118</v>
      </c>
      <c r="L11" s="559">
        <f>'[4] FOCO INCREMENTO'!L14+'[4] FOCO ESTIMACION'!L14</f>
        <v>208435.35151326659</v>
      </c>
      <c r="M11" s="559">
        <f>'[4] FOCO INCREMENTO'!M14+'[4] FOCO ESTIMACION'!M14</f>
        <v>215656.42256975552</v>
      </c>
      <c r="N11" s="559">
        <f>'[4] FOCO INCREMENTO'!N14+'[4] FOCO ESTIMACION'!N14</f>
        <v>210949.29260480555</v>
      </c>
      <c r="O11" s="560">
        <f t="shared" si="0"/>
        <v>2638342.0295634577</v>
      </c>
      <c r="P11" s="561"/>
    </row>
    <row r="12" spans="1:17" ht="12.75" customHeight="1" x14ac:dyDescent="0.2">
      <c r="A12" s="557" t="s">
        <v>151</v>
      </c>
      <c r="B12" s="569"/>
      <c r="C12" s="559">
        <f>'[4] FOCO INCREMENTO'!C15+'[4] FOCO ESTIMACION'!C15</f>
        <v>202946.21048486899</v>
      </c>
      <c r="D12" s="559">
        <f>'[4] FOCO INCREMENTO'!D15+'[4] FOCO ESTIMACION'!D15</f>
        <v>204536.57748429695</v>
      </c>
      <c r="E12" s="559">
        <f>'[4] FOCO INCREMENTO'!E15+'[4] FOCO ESTIMACION'!E15</f>
        <v>186074.05675057671</v>
      </c>
      <c r="F12" s="559">
        <f>'[4] FOCO INCREMENTO'!F15+'[4] FOCO ESTIMACION'!F15</f>
        <v>206944.62030849885</v>
      </c>
      <c r="G12" s="559">
        <f>'[4] FOCO INCREMENTO'!G15+'[4] FOCO ESTIMACION'!G15</f>
        <v>198335.15322998998</v>
      </c>
      <c r="H12" s="559">
        <f>'[4] FOCO INCREMENTO'!H15+'[4] FOCO ESTIMACION'!H15</f>
        <v>210212.28316799866</v>
      </c>
      <c r="I12" s="559">
        <f>'[4] FOCO INCREMENTO'!I15+'[4] FOCO ESTIMACION'!I15</f>
        <v>196084.47945937552</v>
      </c>
      <c r="J12" s="559">
        <f>'[4] FOCO INCREMENTO'!J15+'[4] FOCO ESTIMACION'!J15</f>
        <v>200708.6100901358</v>
      </c>
      <c r="K12" s="559">
        <f>'[4] FOCO INCREMENTO'!K15+'[4] FOCO ESTIMACION'!K15</f>
        <v>197301.16338629025</v>
      </c>
      <c r="L12" s="559">
        <f>'[4] FOCO INCREMENTO'!L15+'[4] FOCO ESTIMACION'!L15</f>
        <v>184332.14972644288</v>
      </c>
      <c r="M12" s="559">
        <f>'[4] FOCO INCREMENTO'!M15+'[4] FOCO ESTIMACION'!M15</f>
        <v>192895.9325505317</v>
      </c>
      <c r="N12" s="559">
        <f>'[4] FOCO INCREMENTO'!N15+'[4] FOCO ESTIMACION'!N15</f>
        <v>195784.93325843912</v>
      </c>
      <c r="O12" s="560">
        <f t="shared" si="0"/>
        <v>2376156.1698974455</v>
      </c>
      <c r="P12" s="561"/>
    </row>
    <row r="13" spans="1:17" ht="12.75" customHeight="1" x14ac:dyDescent="0.2">
      <c r="A13" s="557" t="s">
        <v>152</v>
      </c>
      <c r="B13" s="569"/>
      <c r="C13" s="559">
        <f>'[4] FOCO INCREMENTO'!C16+'[4] FOCO ESTIMACION'!C16</f>
        <v>211173.39319915246</v>
      </c>
      <c r="D13" s="559">
        <f>'[4] FOCO INCREMENTO'!D16+'[4] FOCO ESTIMACION'!D16</f>
        <v>212851.63404335736</v>
      </c>
      <c r="E13" s="559">
        <f>'[4] FOCO INCREMENTO'!E16+'[4] FOCO ESTIMACION'!E16</f>
        <v>190420.91243974486</v>
      </c>
      <c r="F13" s="559">
        <f>'[4] FOCO INCREMENTO'!F16+'[4] FOCO ESTIMACION'!F16</f>
        <v>214244.22347089899</v>
      </c>
      <c r="G13" s="559">
        <f>'[4] FOCO INCREMENTO'!G16+'[4] FOCO ESTIMACION'!G16</f>
        <v>203644.37281966404</v>
      </c>
      <c r="H13" s="559">
        <f>'[4] FOCO INCREMENTO'!H16+'[4] FOCO ESTIMACION'!H16</f>
        <v>217478.27232058064</v>
      </c>
      <c r="I13" s="559">
        <f>'[4] FOCO INCREMENTO'!I16+'[4] FOCO ESTIMACION'!I16</f>
        <v>201212.12012910549</v>
      </c>
      <c r="J13" s="559">
        <f>'[4] FOCO INCREMENTO'!J16+'[4] FOCO ESTIMACION'!J16</f>
        <v>206466.88343932666</v>
      </c>
      <c r="K13" s="559">
        <f>'[4] FOCO INCREMENTO'!K16+'[4] FOCO ESTIMACION'!K16</f>
        <v>203435.50232384904</v>
      </c>
      <c r="L13" s="559">
        <f>'[4] FOCO INCREMENTO'!L16+'[4] FOCO ESTIMACION'!L16</f>
        <v>188216.60578401005</v>
      </c>
      <c r="M13" s="559">
        <f>'[4] FOCO INCREMENTO'!M16+'[4] FOCO ESTIMACION'!M16</f>
        <v>198328.71523021645</v>
      </c>
      <c r="N13" s="559">
        <f>'[4] FOCO INCREMENTO'!N16+'[4] FOCO ESTIMACION'!N16</f>
        <v>205707.89194817905</v>
      </c>
      <c r="O13" s="560">
        <f t="shared" si="0"/>
        <v>2453180.5271480847</v>
      </c>
      <c r="P13" s="561"/>
    </row>
    <row r="14" spans="1:17" ht="12.75" customHeight="1" x14ac:dyDescent="0.2">
      <c r="A14" s="557" t="s">
        <v>153</v>
      </c>
      <c r="B14" s="569"/>
      <c r="C14" s="559">
        <f>'[4] FOCO INCREMENTO'!C17+'[4] FOCO ESTIMACION'!C17</f>
        <v>362749.75476246886</v>
      </c>
      <c r="D14" s="559">
        <f>'[4] FOCO INCREMENTO'!D17+'[4] FOCO ESTIMACION'!D17</f>
        <v>365328.42657435418</v>
      </c>
      <c r="E14" s="559">
        <f>'[4] FOCO INCREMENTO'!E17+'[4] FOCO ESTIMACION'!E17</f>
        <v>368647.04557774641</v>
      </c>
      <c r="F14" s="559">
        <f>'[4] FOCO INCREMENTO'!F17+'[4] FOCO ESTIMACION'!F17</f>
        <v>382188.07818719157</v>
      </c>
      <c r="G14" s="559">
        <f>'[4] FOCO INCREMENTO'!G17+'[4] FOCO ESTIMACION'!G17</f>
        <v>385313.9982969485</v>
      </c>
      <c r="H14" s="559">
        <f>'[4] FOCO INCREMENTO'!H17+'[4] FOCO ESTIMACION'!H17</f>
        <v>389902.15348591068</v>
      </c>
      <c r="I14" s="559">
        <f>'[4] FOCO INCREMENTO'!I17+'[4] FOCO ESTIMACION'!I17</f>
        <v>382310.13323772058</v>
      </c>
      <c r="J14" s="559">
        <f>'[4] FOCO INCREMENTO'!J17+'[4] FOCO ESTIMACION'!J17</f>
        <v>385576.35417967639</v>
      </c>
      <c r="K14" s="559">
        <f>'[4] FOCO INCREMENTO'!K17+'[4] FOCO ESTIMACION'!K17</f>
        <v>373685.64819216164</v>
      </c>
      <c r="L14" s="559">
        <f>'[4] FOCO INCREMENTO'!L17+'[4] FOCO ESTIMACION'!L17</f>
        <v>369952.86852338718</v>
      </c>
      <c r="M14" s="559">
        <f>'[4] FOCO INCREMENTO'!M17+'[4] FOCO ESTIMACION'!M17</f>
        <v>371710.8096164937</v>
      </c>
      <c r="N14" s="559">
        <f>'[4] FOCO INCREMENTO'!N17+'[4] FOCO ESTIMACION'!N17</f>
        <v>327546.49027063942</v>
      </c>
      <c r="O14" s="560">
        <f t="shared" si="0"/>
        <v>4464911.7609046986</v>
      </c>
      <c r="P14" s="561"/>
    </row>
    <row r="15" spans="1:17" ht="12.75" customHeight="1" x14ac:dyDescent="0.2">
      <c r="A15" s="557" t="s">
        <v>154</v>
      </c>
      <c r="B15" s="569"/>
      <c r="C15" s="559">
        <f>'[4] FOCO INCREMENTO'!C18+'[4] FOCO ESTIMACION'!C18</f>
        <v>216262.67584227401</v>
      </c>
      <c r="D15" s="559">
        <f>'[4] FOCO INCREMENTO'!D18+'[4] FOCO ESTIMACION'!D18</f>
        <v>217921.10448853194</v>
      </c>
      <c r="E15" s="559">
        <f>'[4] FOCO INCREMENTO'!E18+'[4] FOCO ESTIMACION'!E18</f>
        <v>203240.21502094792</v>
      </c>
      <c r="F15" s="559">
        <f>'[4] FOCO INCREMENTO'!F18+'[4] FOCO ESTIMACION'!F18</f>
        <v>222213.26031237282</v>
      </c>
      <c r="G15" s="559">
        <f>'[4] FOCO INCREMENTO'!G18+'[4] FOCO ESTIMACION'!G18</f>
        <v>215584.24147516565</v>
      </c>
      <c r="H15" s="559">
        <f>'[4] FOCO INCREMENTO'!H18+'[4] FOCO ESTIMACION'!H18</f>
        <v>225952.88484358616</v>
      </c>
      <c r="I15" s="559">
        <f>'[4] FOCO INCREMENTO'!I18+'[4] FOCO ESTIMACION'!I18</f>
        <v>213325.9828376252</v>
      </c>
      <c r="J15" s="559">
        <f>'[4] FOCO INCREMENTO'!J18+'[4] FOCO ESTIMACION'!J18</f>
        <v>217566.2694451104</v>
      </c>
      <c r="K15" s="559">
        <f>'[4] FOCO INCREMENTO'!K18+'[4] FOCO ESTIMACION'!K18</f>
        <v>213137.8414201191</v>
      </c>
      <c r="L15" s="559">
        <f>'[4] FOCO INCREMENTO'!L18+'[4] FOCO ESTIMACION'!L18</f>
        <v>201991.57563331269</v>
      </c>
      <c r="M15" s="559">
        <f>'[4] FOCO INCREMENTO'!M18+'[4] FOCO ESTIMACION'!M18</f>
        <v>209254.56460088139</v>
      </c>
      <c r="N15" s="559">
        <f>'[4] FOCO INCREMENTO'!N18+'[4] FOCO ESTIMACION'!N18</f>
        <v>205551.56600233438</v>
      </c>
      <c r="O15" s="560">
        <f t="shared" si="0"/>
        <v>2562002.1819222616</v>
      </c>
      <c r="P15" s="561"/>
    </row>
    <row r="16" spans="1:17" ht="12.75" customHeight="1" x14ac:dyDescent="0.2">
      <c r="A16" s="557" t="s">
        <v>155</v>
      </c>
      <c r="B16" s="569"/>
      <c r="C16" s="559">
        <f>'[4] FOCO INCREMENTO'!C19+'[4] FOCO ESTIMACION'!C19</f>
        <v>274192.05874801276</v>
      </c>
      <c r="D16" s="559">
        <f>'[4] FOCO INCREMENTO'!D19+'[4] FOCO ESTIMACION'!D19</f>
        <v>276261.2937308129</v>
      </c>
      <c r="E16" s="559">
        <f>'[4] FOCO INCREMENTO'!E19+'[4] FOCO ESTIMACION'!E19</f>
        <v>262247.27858993516</v>
      </c>
      <c r="F16" s="559">
        <f>'[4] FOCO INCREMENTO'!F19+'[4] FOCO ESTIMACION'!F19</f>
        <v>283293.1833161026</v>
      </c>
      <c r="G16" s="559">
        <f>'[4] FOCO INCREMENTO'!G19+'[4] FOCO ESTIMACION'!G19</f>
        <v>277233.15124686155</v>
      </c>
      <c r="H16" s="559">
        <f>'[4] FOCO INCREMENTO'!H19+'[4] FOCO ESTIMACION'!H19</f>
        <v>288271.77031055721</v>
      </c>
      <c r="I16" s="559">
        <f>'[4] FOCO INCREMENTO'!I19+'[4] FOCO ESTIMACION'!I19</f>
        <v>274499.03119227302</v>
      </c>
      <c r="J16" s="559">
        <f>'[4] FOCO INCREMENTO'!J19+'[4] FOCO ESTIMACION'!J19</f>
        <v>279242.07323486469</v>
      </c>
      <c r="K16" s="559">
        <f>'[4] FOCO INCREMENTO'!K19+'[4] FOCO ESTIMACION'!K19</f>
        <v>272892.89269835327</v>
      </c>
      <c r="L16" s="559">
        <f>'[4] FOCO INCREMENTO'!L19+'[4] FOCO ESTIMACION'!L19</f>
        <v>261223.83187463079</v>
      </c>
      <c r="M16" s="559">
        <f>'[4] FOCO INCREMENTO'!M19+'[4] FOCO ESTIMACION'!M19</f>
        <v>268716.48103113833</v>
      </c>
      <c r="N16" s="559">
        <f>'[4] FOCO INCREMENTO'!N19+'[4] FOCO ESTIMACION'!N19</f>
        <v>257774.70750365214</v>
      </c>
      <c r="O16" s="560">
        <f t="shared" si="0"/>
        <v>3275847.7534771943</v>
      </c>
      <c r="P16" s="561"/>
    </row>
    <row r="17" spans="1:16" ht="12.75" customHeight="1" x14ac:dyDescent="0.2">
      <c r="A17" s="557" t="s">
        <v>277</v>
      </c>
      <c r="B17" s="569"/>
      <c r="C17" s="559">
        <f>'[4] FOCO INCREMENTO'!C20+'[4] FOCO ESTIMACION'!C20</f>
        <v>168369.18253523775</v>
      </c>
      <c r="D17" s="559">
        <f>'[4] FOCO INCREMENTO'!D20+'[4] FOCO ESTIMACION'!D20</f>
        <v>169994.51604787685</v>
      </c>
      <c r="E17" s="559">
        <f>'[4] FOCO INCREMENTO'!E20+'[4] FOCO ESTIMACION'!E20</f>
        <v>112587.56716776869</v>
      </c>
      <c r="F17" s="559">
        <f>'[4] FOCO INCREMENTO'!F20+'[4] FOCO ESTIMACION'!F20</f>
        <v>157441.73275838856</v>
      </c>
      <c r="G17" s="559">
        <f>'[4] FOCO INCREMENTO'!G20+'[4] FOCO ESTIMACION'!G20</f>
        <v>128842.46466456076</v>
      </c>
      <c r="H17" s="559">
        <f>'[4] FOCO INCREMENTO'!H20+'[4] FOCO ESTIMACION'!H20</f>
        <v>157981.58605880657</v>
      </c>
      <c r="I17" s="559">
        <f>'[4] FOCO INCREMENTO'!I20+'[4] FOCO ESTIMACION'!I20</f>
        <v>125794.29452279361</v>
      </c>
      <c r="J17" s="559">
        <f>'[4] FOCO INCREMENTO'!J20+'[4] FOCO ESTIMACION'!J20</f>
        <v>135423.97571846531</v>
      </c>
      <c r="K17" s="559">
        <f>'[4] FOCO INCREMENTO'!K20+'[4] FOCO ESTIMACION'!K20</f>
        <v>139318.90368970699</v>
      </c>
      <c r="L17" s="559">
        <f>'[4] FOCO INCREMENTO'!L20+'[4] FOCO ESTIMACION'!L20</f>
        <v>106020.8592911384</v>
      </c>
      <c r="M17" s="559">
        <f>'[4] FOCO INCREMENTO'!M20+'[4] FOCO ESTIMACION'!M20</f>
        <v>128827.68037865395</v>
      </c>
      <c r="N17" s="559">
        <f>'[4] FOCO INCREMENTO'!N20+'[4] FOCO ESTIMACION'!N20</f>
        <v>188390.95779910067</v>
      </c>
      <c r="O17" s="560">
        <f t="shared" si="0"/>
        <v>1718993.7206324982</v>
      </c>
      <c r="P17" s="561"/>
    </row>
    <row r="18" spans="1:16" ht="12.75" customHeight="1" x14ac:dyDescent="0.2">
      <c r="A18" s="557" t="s">
        <v>278</v>
      </c>
      <c r="B18" s="569"/>
      <c r="C18" s="559">
        <f>'[4] FOCO INCREMENTO'!C21+'[4] FOCO ESTIMACION'!C21</f>
        <v>198394.74342085869</v>
      </c>
      <c r="D18" s="559">
        <f>'[4] FOCO INCREMENTO'!D21+'[4] FOCO ESTIMACION'!D21</f>
        <v>199943.37561179919</v>
      </c>
      <c r="E18" s="559">
        <f>'[4] FOCO INCREMENTO'!E21+'[4] FOCO ESTIMACION'!E21</f>
        <v>182729.72243924619</v>
      </c>
      <c r="F18" s="559">
        <f>'[4] FOCO INCREMENTO'!F21+'[4] FOCO ESTIMACION'!F21</f>
        <v>202586.00785245071</v>
      </c>
      <c r="G18" s="559">
        <f>'[4] FOCO INCREMENTO'!G21+'[4] FOCO ESTIMACION'!G21</f>
        <v>194595.19422602394</v>
      </c>
      <c r="H18" s="559">
        <f>'[4] FOCO INCREMENTO'!H21+'[4] FOCO ESTIMACION'!H21</f>
        <v>205823.44798842364</v>
      </c>
      <c r="I18" s="559">
        <f>'[4] FOCO INCREMENTO'!I21+'[4] FOCO ESTIMACION'!I21</f>
        <v>192418.41920854413</v>
      </c>
      <c r="J18" s="559">
        <f>'[4] FOCO INCREMENTO'!J21+'[4] FOCO ESTIMACION'!J21</f>
        <v>196823.93905012784</v>
      </c>
      <c r="K18" s="559">
        <f>'[4] FOCO INCREMENTO'!K21+'[4] FOCO ESTIMACION'!K21</f>
        <v>193359.59081034412</v>
      </c>
      <c r="L18" s="559">
        <f>'[4] FOCO INCREMENTO'!L21+'[4] FOCO ESTIMACION'!L21</f>
        <v>181128.46206910201</v>
      </c>
      <c r="M18" s="559">
        <f>'[4] FOCO INCREMENTO'!M21+'[4] FOCO ESTIMACION'!M21</f>
        <v>189188.75119316691</v>
      </c>
      <c r="N18" s="559">
        <f>'[4] FOCO INCREMENTO'!N21+'[4] FOCO ESTIMACION'!N21</f>
        <v>190879.12494086992</v>
      </c>
      <c r="O18" s="560">
        <f t="shared" si="0"/>
        <v>2327870.778810957</v>
      </c>
      <c r="P18" s="561"/>
    </row>
    <row r="19" spans="1:16" ht="12.75" customHeight="1" x14ac:dyDescent="0.2">
      <c r="A19" s="557" t="s">
        <v>279</v>
      </c>
      <c r="B19" s="569"/>
      <c r="C19" s="559">
        <f>'[4] FOCO INCREMENTO'!C22+'[4] FOCO ESTIMACION'!C22</f>
        <v>637279.876508596</v>
      </c>
      <c r="D19" s="559">
        <f>'[4] FOCO INCREMENTO'!D22+'[4] FOCO ESTIMACION'!D22</f>
        <v>641889.33767879708</v>
      </c>
      <c r="E19" s="559">
        <f>'[4] FOCO INCREMENTO'!E22+'[4] FOCO ESTIMACION'!E22</f>
        <v>636817.10813882633</v>
      </c>
      <c r="F19" s="559">
        <f>'[4] FOCO INCREMENTO'!F22+'[4] FOCO ESTIMACION'!F22</f>
        <v>667739.45692027162</v>
      </c>
      <c r="G19" s="559">
        <f>'[4] FOCO INCREMENTO'!G22+'[4] FOCO ESTIMACION'!G22</f>
        <v>667673.26053620619</v>
      </c>
      <c r="H19" s="559">
        <f>'[4] FOCO INCREMENTO'!H22+'[4] FOCO ESTIMACION'!H22</f>
        <v>680729.20225750108</v>
      </c>
      <c r="I19" s="559">
        <f>'[4] FOCO INCREMENTO'!I22+'[4] FOCO ESTIMACION'!I22</f>
        <v>662090.16332464595</v>
      </c>
      <c r="J19" s="559">
        <f>'[4] FOCO INCREMENTO'!J22+'[4] FOCO ESTIMACION'!J22</f>
        <v>669328.90691099211</v>
      </c>
      <c r="K19" s="559">
        <f>'[4] FOCO INCREMENTO'!K22+'[4] FOCO ESTIMACION'!K22</f>
        <v>650180.40522796602</v>
      </c>
      <c r="L19" s="559">
        <f>'[4] FOCO INCREMENTO'!L22+'[4] FOCO ESTIMACION'!L22</f>
        <v>637784.56116318586</v>
      </c>
      <c r="M19" s="559">
        <f>'[4] FOCO INCREMENTO'!M22+'[4] FOCO ESTIMACION'!M22</f>
        <v>644940.16426424088</v>
      </c>
      <c r="N19" s="559">
        <f>'[4] FOCO INCREMENTO'!N22+'[4] FOCO ESTIMACION'!N22</f>
        <v>582159.74549378653</v>
      </c>
      <c r="O19" s="560">
        <f t="shared" si="0"/>
        <v>7778612.1884250157</v>
      </c>
      <c r="P19" s="561"/>
    </row>
    <row r="20" spans="1:16" ht="12.75" customHeight="1" x14ac:dyDescent="0.2">
      <c r="A20" s="557" t="s">
        <v>159</v>
      </c>
      <c r="B20" s="569"/>
      <c r="C20" s="559">
        <f>'[4] FOCO INCREMENTO'!C23+'[4] FOCO ESTIMACION'!C23</f>
        <v>337879.70151730324</v>
      </c>
      <c r="D20" s="559">
        <f>'[4] FOCO INCREMENTO'!D23+'[4] FOCO ESTIMACION'!D23</f>
        <v>340324.81281794817</v>
      </c>
      <c r="E20" s="559">
        <f>'[4] FOCO INCREMENTO'!E23+'[4] FOCO ESTIMACION'!E23</f>
        <v>337467.84817407792</v>
      </c>
      <c r="F20" s="559">
        <f>'[4] FOCO INCREMENTO'!F23+'[4] FOCO ESTIMACION'!F23</f>
        <v>353972.31909494393</v>
      </c>
      <c r="G20" s="559">
        <f>'[4] FOCO INCREMENTO'!G23+'[4] FOCO ESTIMACION'!G23</f>
        <v>353851.72359519941</v>
      </c>
      <c r="H20" s="559">
        <f>'[4] FOCO INCREMENTO'!H23+'[4] FOCO ESTIMACION'!H23</f>
        <v>360850.70680220856</v>
      </c>
      <c r="I20" s="559">
        <f>'[4] FOCO INCREMENTO'!I23+'[4] FOCO ESTIMACION'!I23</f>
        <v>350886.91301523236</v>
      </c>
      <c r="J20" s="559">
        <f>'[4] FOCO INCREMENTO'!J23+'[4] FOCO ESTIMACION'!J23</f>
        <v>354747.91075814457</v>
      </c>
      <c r="K20" s="559">
        <f>'[4] FOCO INCREMENTO'!K23+'[4] FOCO ESTIMACION'!K23</f>
        <v>344622.34276456496</v>
      </c>
      <c r="L20" s="559">
        <f>'[4] FOCO INCREMENTO'!L23+'[4] FOCO ESTIMACION'!L23</f>
        <v>337960.37444248161</v>
      </c>
      <c r="M20" s="559">
        <f>'[4] FOCO INCREMENTO'!M23+'[4] FOCO ESTIMACION'!M23</f>
        <v>341816.77536440716</v>
      </c>
      <c r="N20" s="559">
        <f>'[4] FOCO INCREMENTO'!N23+'[4] FOCO ESTIMACION'!N23</f>
        <v>308758.98990534758</v>
      </c>
      <c r="O20" s="560">
        <f t="shared" si="0"/>
        <v>4123140.4182518595</v>
      </c>
      <c r="P20" s="561"/>
    </row>
    <row r="21" spans="1:16" ht="12.75" customHeight="1" x14ac:dyDescent="0.2">
      <c r="A21" s="557" t="s">
        <v>160</v>
      </c>
      <c r="B21" s="569"/>
      <c r="C21" s="559">
        <f>'[4] FOCO INCREMENTO'!C24+'[4] FOCO ESTIMACION'!C24</f>
        <v>2236911.5451440504</v>
      </c>
      <c r="D21" s="559">
        <f>'[4] FOCO INCREMENTO'!D24+'[4] FOCO ESTIMACION'!D24</f>
        <v>2253409.3547156453</v>
      </c>
      <c r="E21" s="559">
        <f>'[4] FOCO INCREMENTO'!E24+'[4] FOCO ESTIMACION'!E24</f>
        <v>2191830.4002508712</v>
      </c>
      <c r="F21" s="559">
        <f>'[4] FOCO INCREMENTO'!F24+'[4] FOCO ESTIMACION'!F24</f>
        <v>2329012.6221805741</v>
      </c>
      <c r="G21" s="559">
        <f>'[4] FOCO INCREMENTO'!G24+'[4] FOCO ESTIMACION'!G24</f>
        <v>2306464.6597708012</v>
      </c>
      <c r="H21" s="559">
        <f>'[4] FOCO INCREMENTO'!H24+'[4] FOCO ESTIMACION'!H24</f>
        <v>2372349.8401521686</v>
      </c>
      <c r="I21" s="559">
        <f>'[4] FOCO INCREMENTO'!I24+'[4] FOCO ESTIMACION'!I24</f>
        <v>2285639.2377193514</v>
      </c>
      <c r="J21" s="559">
        <f>'[4] FOCO INCREMENTO'!J24+'[4] FOCO ESTIMACION'!J24</f>
        <v>2317073.2126520276</v>
      </c>
      <c r="K21" s="559">
        <f>'[4] FOCO INCREMENTO'!K24+'[4] FOCO ESTIMACION'!K24</f>
        <v>2256851.1157179568</v>
      </c>
      <c r="L21" s="559">
        <f>'[4] FOCO INCREMENTO'!L24+'[4] FOCO ESTIMACION'!L24</f>
        <v>2189899.6412557503</v>
      </c>
      <c r="M21" s="559">
        <f>'[4] FOCO INCREMENTO'!M24+'[4] FOCO ESTIMACION'!M24</f>
        <v>2231347.1639124178</v>
      </c>
      <c r="N21" s="559">
        <f>'[4] FOCO INCREMENTO'!N24+'[4] FOCO ESTIMACION'!N24</f>
        <v>2070437.0785207015</v>
      </c>
      <c r="O21" s="560">
        <f t="shared" si="0"/>
        <v>27041225.871992316</v>
      </c>
      <c r="P21" s="561"/>
    </row>
    <row r="22" spans="1:16" ht="12.75" customHeight="1" x14ac:dyDescent="0.2">
      <c r="A22" s="557" t="s">
        <v>161</v>
      </c>
      <c r="B22" s="569"/>
      <c r="C22" s="559">
        <f>'[4] FOCO INCREMENTO'!C25+'[4] FOCO ESTIMACION'!C25</f>
        <v>226321.55528975671</v>
      </c>
      <c r="D22" s="559">
        <f>'[4] FOCO INCREMENTO'!D25+'[4] FOCO ESTIMACION'!D25</f>
        <v>228048.68741470721</v>
      </c>
      <c r="E22" s="559">
        <f>'[4] FOCO INCREMENTO'!E25+'[4] FOCO ESTIMACION'!E25</f>
        <v>213845.30993281701</v>
      </c>
      <c r="F22" s="559">
        <f>'[4] FOCO INCREMENTO'!F25+'[4] FOCO ESTIMACION'!F25</f>
        <v>232941.61713395658</v>
      </c>
      <c r="G22" s="559">
        <f>'[4] FOCO INCREMENTO'!G25+'[4] FOCO ESTIMACION'!G25</f>
        <v>226595.79286355968</v>
      </c>
      <c r="H22" s="559">
        <f>'[4] FOCO INCREMENTO'!H25+'[4] FOCO ESTIMACION'!H25</f>
        <v>236915.03353808116</v>
      </c>
      <c r="I22" s="559">
        <f>'[4] FOCO INCREMENTO'!I25+'[4] FOCO ESTIMACION'!I25</f>
        <v>224265.05444790859</v>
      </c>
      <c r="J22" s="559">
        <f>'[4] FOCO INCREMENTO'!J25+'[4] FOCO ESTIMACION'!J25</f>
        <v>228542.85209447177</v>
      </c>
      <c r="K22" s="559">
        <f>'[4] FOCO INCREMENTO'!K25+'[4] FOCO ESTIMACION'!K25</f>
        <v>223723.1373924184</v>
      </c>
      <c r="L22" s="559">
        <f>'[4] FOCO INCREMENTO'!L25+'[4] FOCO ESTIMACION'!L25</f>
        <v>212679.78724376185</v>
      </c>
      <c r="M22" s="559">
        <f>'[4] FOCO INCREMENTO'!M25+'[4] FOCO ESTIMACION'!M25</f>
        <v>219847.71279347118</v>
      </c>
      <c r="N22" s="559">
        <f>'[4] FOCO INCREMENTO'!N25+'[4] FOCO ESTIMACION'!N25</f>
        <v>214396.48950518662</v>
      </c>
      <c r="O22" s="560">
        <f t="shared" si="0"/>
        <v>2688123.0296500972</v>
      </c>
      <c r="P22" s="561"/>
    </row>
    <row r="23" spans="1:16" ht="12.75" customHeight="1" thickBot="1" x14ac:dyDescent="0.25">
      <c r="A23" s="557" t="s">
        <v>162</v>
      </c>
      <c r="B23" s="570"/>
      <c r="C23" s="559">
        <f>'[4] FOCO INCREMENTO'!C26+'[4] FOCO ESTIMACION'!C26</f>
        <v>316677.92014081427</v>
      </c>
      <c r="D23" s="559">
        <f>'[4] FOCO INCREMENTO'!D26+'[4] FOCO ESTIMACION'!D26</f>
        <v>319074.88842420722</v>
      </c>
      <c r="E23" s="559">
        <f>'[4] FOCO INCREMENTO'!E26+'[4] FOCO ESTIMACION'!E26</f>
        <v>301911.63684907235</v>
      </c>
      <c r="F23" s="559">
        <f>'[4] FOCO INCREMENTO'!F26+'[4] FOCO ESTIMACION'!F26</f>
        <v>326858.34634578915</v>
      </c>
      <c r="G23" s="559">
        <f>'[4] FOCO INCREMENTO'!G26+'[4] FOCO ESTIMACION'!G26</f>
        <v>319360.86638977705</v>
      </c>
      <c r="H23" s="559">
        <f>'[4] FOCO INCREMENTO'!H26+'[4] FOCO ESTIMACION'!H26</f>
        <v>332557.92633437424</v>
      </c>
      <c r="I23" s="559">
        <f>'[4] FOCO INCREMENTO'!I26+'[4] FOCO ESTIMACION'!I26</f>
        <v>316175.66211982671</v>
      </c>
      <c r="J23" s="559">
        <f>'[4] FOCO INCREMENTO'!J26+'[4] FOCO ESTIMACION'!J26</f>
        <v>321788.21888827981</v>
      </c>
      <c r="K23" s="559">
        <f>'[4] FOCO INCREMENTO'!K26+'[4] FOCO ESTIMACION'!K26</f>
        <v>314611.38943959837</v>
      </c>
      <c r="L23" s="559">
        <f>'[4] FOCO INCREMENTO'!L26+'[4] FOCO ESTIMACION'!L26</f>
        <v>300610.63054300647</v>
      </c>
      <c r="M23" s="559">
        <f>'[4] FOCO INCREMENTO'!M26+'[4] FOCO ESTIMACION'!M26</f>
        <v>309629.02910593851</v>
      </c>
      <c r="N23" s="559">
        <f>'[4] FOCO INCREMENTO'!N26+'[4] FOCO ESTIMACION'!N26</f>
        <v>298319.84658681002</v>
      </c>
      <c r="O23" s="560">
        <f t="shared" si="0"/>
        <v>3777576.3611674942</v>
      </c>
      <c r="P23" s="561"/>
    </row>
    <row r="24" spans="1:16" ht="13.5" thickBot="1" x14ac:dyDescent="0.25">
      <c r="A24" s="562" t="s">
        <v>280</v>
      </c>
      <c r="B24" s="563">
        <f>SUM(B4:B23)</f>
        <v>0</v>
      </c>
      <c r="C24" s="564">
        <f>SUM(C4:C23)</f>
        <v>8049883.0500000007</v>
      </c>
      <c r="D24" s="564">
        <f t="shared" ref="D24:N24" si="1">SUM(D4:D23)</f>
        <v>8110499.4000000013</v>
      </c>
      <c r="E24" s="564">
        <f t="shared" si="1"/>
        <v>7717421.9249999998</v>
      </c>
      <c r="F24" s="564">
        <f t="shared" si="1"/>
        <v>8323290.4500000002</v>
      </c>
      <c r="G24" s="564">
        <f t="shared" si="1"/>
        <v>8154733.0499999989</v>
      </c>
      <c r="H24" s="564">
        <f t="shared" si="1"/>
        <v>8470401.3000000007</v>
      </c>
      <c r="I24" s="564">
        <f t="shared" si="1"/>
        <v>8074978.1999999993</v>
      </c>
      <c r="J24" s="564">
        <f t="shared" si="1"/>
        <v>8211700.7999999989</v>
      </c>
      <c r="K24" s="564">
        <f t="shared" si="1"/>
        <v>8022366.9000000013</v>
      </c>
      <c r="L24" s="564">
        <f t="shared" si="1"/>
        <v>7689608.3250000011</v>
      </c>
      <c r="M24" s="564">
        <f t="shared" si="1"/>
        <v>7902734.6250000019</v>
      </c>
      <c r="N24" s="564">
        <f t="shared" si="1"/>
        <v>7556571.8999999994</v>
      </c>
      <c r="O24" s="564">
        <f>SUM(C24:N24)</f>
        <v>96284189.925000012</v>
      </c>
    </row>
    <row r="25" spans="1:16" x14ac:dyDescent="0.2">
      <c r="A25" s="565"/>
      <c r="B25" s="565"/>
      <c r="C25" s="565"/>
      <c r="D25" s="565"/>
      <c r="E25" s="565"/>
      <c r="F25" s="565"/>
      <c r="G25" s="565"/>
      <c r="H25" s="565"/>
      <c r="I25" s="565"/>
      <c r="J25" s="565"/>
      <c r="K25" s="565"/>
      <c r="L25" s="565"/>
      <c r="M25" s="565"/>
      <c r="N25" s="565"/>
      <c r="O25" s="565"/>
    </row>
    <row r="26" spans="1:16" x14ac:dyDescent="0.2">
      <c r="A26" s="566" t="s">
        <v>281</v>
      </c>
      <c r="O26" s="561"/>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4" tint="0.39997558519241921"/>
  </sheetPr>
  <dimension ref="A1:Q26"/>
  <sheetViews>
    <sheetView workbookViewId="0">
      <selection activeCell="D8" sqref="D8"/>
    </sheetView>
  </sheetViews>
  <sheetFormatPr baseColWidth="10" defaultRowHeight="12.75" x14ac:dyDescent="0.2"/>
  <cols>
    <col min="1" max="1" width="16.85546875" style="552" customWidth="1"/>
    <col min="2" max="2" width="9.28515625" style="552" hidden="1" customWidth="1"/>
    <col min="3" max="10" width="7.85546875" style="552" customWidth="1"/>
    <col min="11" max="11" width="9.42578125" style="552" customWidth="1"/>
    <col min="12" max="12" width="7.85546875" style="552" customWidth="1"/>
    <col min="13" max="13" width="9.42578125" style="552" customWidth="1"/>
    <col min="14" max="14" width="8.5703125" style="552" customWidth="1"/>
    <col min="15" max="15" width="8.7109375" style="552" bestFit="1" customWidth="1"/>
    <col min="16" max="16" width="11.7109375" style="552" bestFit="1" customWidth="1"/>
    <col min="17" max="16384" width="11.42578125" style="552"/>
  </cols>
  <sheetData>
    <row r="1" spans="1:16" x14ac:dyDescent="0.2">
      <c r="A1" s="1215" t="s">
        <v>343</v>
      </c>
      <c r="B1" s="1215"/>
      <c r="C1" s="1215"/>
      <c r="D1" s="1215"/>
      <c r="E1" s="1215"/>
      <c r="F1" s="1215"/>
      <c r="G1" s="1215"/>
      <c r="H1" s="1215"/>
      <c r="I1" s="1215"/>
      <c r="J1" s="1215"/>
      <c r="K1" s="1215"/>
      <c r="L1" s="1215"/>
      <c r="M1" s="1215"/>
      <c r="N1" s="1215"/>
      <c r="O1" s="1215"/>
    </row>
    <row r="2" spans="1:16" ht="13.5" thickBot="1" x14ac:dyDescent="0.25"/>
    <row r="3" spans="1:16" ht="23.25" thickBot="1" x14ac:dyDescent="0.25">
      <c r="A3" s="553" t="s">
        <v>305</v>
      </c>
      <c r="B3" s="554" t="s">
        <v>273</v>
      </c>
      <c r="C3" s="553" t="s">
        <v>1</v>
      </c>
      <c r="D3" s="555" t="s">
        <v>2</v>
      </c>
      <c r="E3" s="553" t="s">
        <v>3</v>
      </c>
      <c r="F3" s="555" t="s">
        <v>4</v>
      </c>
      <c r="G3" s="553" t="s">
        <v>5</v>
      </c>
      <c r="H3" s="553" t="s">
        <v>6</v>
      </c>
      <c r="I3" s="553" t="s">
        <v>7</v>
      </c>
      <c r="J3" s="555" t="s">
        <v>8</v>
      </c>
      <c r="K3" s="553" t="s">
        <v>9</v>
      </c>
      <c r="L3" s="555" t="s">
        <v>10</v>
      </c>
      <c r="M3" s="553" t="s">
        <v>11</v>
      </c>
      <c r="N3" s="553" t="s">
        <v>12</v>
      </c>
      <c r="O3" s="556" t="s">
        <v>165</v>
      </c>
    </row>
    <row r="4" spans="1:16" ht="12.75" customHeight="1" x14ac:dyDescent="0.2">
      <c r="A4" s="557" t="s">
        <v>274</v>
      </c>
      <c r="B4" s="568"/>
      <c r="C4" s="559">
        <f>[4]IEPSGASINCREMENTO!C7+'[4]IEPSGAS ESTIMACIONES'!C7</f>
        <v>158003.16191889267</v>
      </c>
      <c r="D4" s="559">
        <f>[4]IEPSGASINCREMENTO!D7+'[4]IEPSGAS ESTIMACIONES'!D7</f>
        <v>159173.21571353698</v>
      </c>
      <c r="E4" s="559">
        <f>[4]IEPSGASINCREMENTO!E7+'[4]IEPSGAS ESTIMACIONES'!E7</f>
        <v>154171.52363969112</v>
      </c>
      <c r="F4" s="559">
        <f>[4]IEPSGASINCREMENTO!F7+'[4]IEPSGAS ESTIMACIONES'!F7</f>
        <v>164287.98695899823</v>
      </c>
      <c r="G4" s="559">
        <f>[4]IEPSGASINCREMENTO!G7+'[4]IEPSGAS ESTIMACIONES'!G7</f>
        <v>162362.89788612153</v>
      </c>
      <c r="H4" s="559">
        <f>[4]IEPSGASINCREMENTO!H7+'[4]IEPSGAS ESTIMACIONES'!H7</f>
        <v>167315.45673259062</v>
      </c>
      <c r="I4" s="559">
        <f>[4]IEPSGASINCREMENTO!I7+'[4]IEPSGAS ESTIMACIONES'!I7</f>
        <v>160873.6114335173</v>
      </c>
      <c r="J4" s="559">
        <f>[4]IEPSGASINCREMENTO!J7+'[4]IEPSGAS ESTIMACIONES'!J7</f>
        <v>163183.68391553813</v>
      </c>
      <c r="K4" s="559">
        <f>[4]IEPSGASINCREMENTO!K7+'[4]IEPSGAS ESTIMACIONES'!K7</f>
        <v>159034.06965854272</v>
      </c>
      <c r="L4" s="559">
        <f>[4]IEPSGASINCREMENTO!L7+'[4]IEPSGAS ESTIMACIONES'!L7</f>
        <v>153955.79267953325</v>
      </c>
      <c r="M4" s="559">
        <f>[4]IEPSGASINCREMENTO!M7+'[4]IEPSGAS ESTIMACIONES'!M7</f>
        <v>157126.69362675384</v>
      </c>
      <c r="N4" s="559">
        <f>[4]IEPSGASINCREMENTO!N7+'[4]IEPSGAS ESTIMACIONES'!N7</f>
        <v>146646.55149290251</v>
      </c>
      <c r="O4" s="560">
        <f>SUM(C4:N4)</f>
        <v>1906134.645656619</v>
      </c>
      <c r="P4" s="561"/>
    </row>
    <row r="5" spans="1:16" ht="12.75" customHeight="1" x14ac:dyDescent="0.2">
      <c r="A5" s="557" t="s">
        <v>144</v>
      </c>
      <c r="B5" s="569"/>
      <c r="C5" s="559">
        <f>[4]IEPSGASINCREMENTO!C8+'[4]IEPSGAS ESTIMACIONES'!C8</f>
        <v>65458.589763628042</v>
      </c>
      <c r="D5" s="559">
        <f>[4]IEPSGASINCREMENTO!D8+'[4]IEPSGAS ESTIMACIONES'!D8</f>
        <v>65945.904965347596</v>
      </c>
      <c r="E5" s="559">
        <f>[4]IEPSGASINCREMENTO!E8+'[4]IEPSGAS ESTIMACIONES'!E8</f>
        <v>63519.116616850064</v>
      </c>
      <c r="F5" s="559">
        <f>[4]IEPSGASINCREMENTO!F8+'[4]IEPSGAS ESTIMACIONES'!F8</f>
        <v>67942.281697750092</v>
      </c>
      <c r="G5" s="559">
        <f>[4]IEPSGASINCREMENTO!G8+'[4]IEPSGAS ESTIMACIONES'!G8</f>
        <v>66963.947231574799</v>
      </c>
      <c r="H5" s="559">
        <f>[4]IEPSGASINCREMENTO!H8+'[4]IEPSGAS ESTIMACIONES'!H8</f>
        <v>69178.227965725091</v>
      </c>
      <c r="I5" s="559">
        <f>[4]IEPSGASINCREMENTO!I8+'[4]IEPSGAS ESTIMACIONES'!I8</f>
        <v>66337.005001986079</v>
      </c>
      <c r="J5" s="559">
        <f>[4]IEPSGASINCREMENTO!J8+'[4]IEPSGAS ESTIMACIONES'!J8</f>
        <v>67342.852675681948</v>
      </c>
      <c r="K5" s="559">
        <f>[4]IEPSGASINCREMENTO!K8+'[4]IEPSGAS ESTIMACIONES'!K8</f>
        <v>65680.361947734738</v>
      </c>
      <c r="L5" s="559">
        <f>[4]IEPSGASINCREMENTO!L8+'[4]IEPSGAS ESTIMACIONES'!L8</f>
        <v>63386.587151522326</v>
      </c>
      <c r="M5" s="559">
        <f>[4]IEPSGASINCREMENTO!M8+'[4]IEPSGAS ESTIMACIONES'!M8</f>
        <v>64832.556450389777</v>
      </c>
      <c r="N5" s="559">
        <f>[4]IEPSGASINCREMENTO!N8+'[4]IEPSGAS ESTIMACIONES'!N8</f>
        <v>60972.464779506452</v>
      </c>
      <c r="O5" s="560">
        <f t="shared" ref="O5:O23" si="0">SUM(C5:N5)</f>
        <v>787559.89624769695</v>
      </c>
      <c r="P5" s="561"/>
    </row>
    <row r="6" spans="1:16" ht="12.75" customHeight="1" x14ac:dyDescent="0.2">
      <c r="A6" s="557" t="s">
        <v>145</v>
      </c>
      <c r="B6" s="569"/>
      <c r="C6" s="559">
        <f>[4]IEPSGASINCREMENTO!C9+'[4]IEPSGAS ESTIMACIONES'!C9</f>
        <v>48125.478487627683</v>
      </c>
      <c r="D6" s="559">
        <f>[4]IEPSGASINCREMENTO!D9+'[4]IEPSGAS ESTIMACIONES'!D9</f>
        <v>48484.389989804287</v>
      </c>
      <c r="E6" s="559">
        <f>[4]IEPSGASINCREMENTO!E9+'[4]IEPSGAS ESTIMACIONES'!E9</f>
        <v>46612.839107632455</v>
      </c>
      <c r="F6" s="559">
        <f>[4]IEPSGASINCREMENTO!F9+'[4]IEPSGAS ESTIMACIONES'!F9</f>
        <v>49921.934174082446</v>
      </c>
      <c r="G6" s="559">
        <f>[4]IEPSGASINCREMENTO!G9+'[4]IEPSGAS ESTIMACIONES'!G9</f>
        <v>49158.121332023744</v>
      </c>
      <c r="H6" s="559">
        <f>[4]IEPSGASINCREMENTO!H9+'[4]IEPSGAS ESTIMACIONES'!H9</f>
        <v>50826.101547345061</v>
      </c>
      <c r="I6" s="559">
        <f>[4]IEPSGASINCREMENTO!I9+'[4]IEPSGAS ESTIMACIONES'!I9</f>
        <v>48694.739060591892</v>
      </c>
      <c r="J6" s="559">
        <f>[4]IEPSGASINCREMENTO!J9+'[4]IEPSGAS ESTIMACIONES'!J9</f>
        <v>49446.268280952019</v>
      </c>
      <c r="K6" s="559">
        <f>[4]IEPSGASINCREMENTO!K9+'[4]IEPSGAS ESTIMACIONES'!K9</f>
        <v>48237.949047840186</v>
      </c>
      <c r="L6" s="559">
        <f>[4]IEPSGASINCREMENTO!L9+'[4]IEPSGAS ESTIMACIONES'!L9</f>
        <v>46504.772160810142</v>
      </c>
      <c r="M6" s="559">
        <f>[4]IEPSGASINCREMENTO!M9+'[4]IEPSGAS ESTIMACIONES'!M9</f>
        <v>47600.448032537344</v>
      </c>
      <c r="N6" s="559">
        <f>[4]IEPSGASINCREMENTO!N9+'[4]IEPSGAS ESTIMACIONES'!N9</f>
        <v>44881.147230831746</v>
      </c>
      <c r="O6" s="560">
        <f t="shared" si="0"/>
        <v>578494.18845207908</v>
      </c>
      <c r="P6" s="561"/>
    </row>
    <row r="7" spans="1:16" ht="12.75" customHeight="1" x14ac:dyDescent="0.2">
      <c r="A7" s="557" t="s">
        <v>275</v>
      </c>
      <c r="B7" s="569"/>
      <c r="C7" s="559">
        <f>[4]IEPSGASINCREMENTO!C10+'[4]IEPSGAS ESTIMACIONES'!C10</f>
        <v>461516.49954258977</v>
      </c>
      <c r="D7" s="559">
        <f>[4]IEPSGASINCREMENTO!D10+'[4]IEPSGAS ESTIMACIONES'!D10</f>
        <v>465148.47126934107</v>
      </c>
      <c r="E7" s="559">
        <f>[4]IEPSGASINCREMENTO!E10+'[4]IEPSGAS ESTIMACIONES'!E10</f>
        <v>421049.98750199331</v>
      </c>
      <c r="F7" s="559">
        <f>[4]IEPSGASINCREMENTO!F10+'[4]IEPSGAS ESTIMACIONES'!F10</f>
        <v>469894.03767144686</v>
      </c>
      <c r="G7" s="559">
        <f>[4]IEPSGASINCREMENTO!G10+'[4]IEPSGAS ESTIMACIONES'!G10</f>
        <v>449238.12855146552</v>
      </c>
      <c r="H7" s="559">
        <f>[4]IEPSGASINCREMENTO!H10+'[4]IEPSGAS ESTIMACIONES'!H10</f>
        <v>477215.97163923073</v>
      </c>
      <c r="I7" s="559">
        <f>[4]IEPSGASINCREMENTO!I10+'[4]IEPSGAS ESTIMACIONES'!I10</f>
        <v>444060.62977539864</v>
      </c>
      <c r="J7" s="559">
        <f>[4]IEPSGASINCREMENTO!J10+'[4]IEPSGAS ESTIMACIONES'!J10</f>
        <v>454867.12775422557</v>
      </c>
      <c r="K7" s="559">
        <f>[4]IEPSGASINCREMENTO!K10+'[4]IEPSGAS ESTIMACIONES'!K10</f>
        <v>447455.79918356985</v>
      </c>
      <c r="L7" s="559">
        <f>[4]IEPSGASINCREMENTO!L10+'[4]IEPSGAS ESTIMACIONES'!L10</f>
        <v>416831.58916406828</v>
      </c>
      <c r="M7" s="559">
        <f>[4]IEPSGASINCREMENTO!M10+'[4]IEPSGAS ESTIMACIONES'!M10</f>
        <v>437094.71407056204</v>
      </c>
      <c r="N7" s="559">
        <f>[4]IEPSGASINCREMENTO!N10+'[4]IEPSGAS ESTIMACIONES'!N10</f>
        <v>446534.63989518961</v>
      </c>
      <c r="O7" s="560">
        <f t="shared" si="0"/>
        <v>5390907.5960190808</v>
      </c>
      <c r="P7" s="561"/>
    </row>
    <row r="8" spans="1:16" ht="12.75" customHeight="1" x14ac:dyDescent="0.2">
      <c r="A8" s="557" t="s">
        <v>147</v>
      </c>
      <c r="B8" s="569"/>
      <c r="C8" s="559">
        <f>[4]IEPSGASINCREMENTO!C11+'[4]IEPSGAS ESTIMACIONES'!C11</f>
        <v>297283.44680235273</v>
      </c>
      <c r="D8" s="559">
        <f>[4]IEPSGASINCREMENTO!D11+'[4]IEPSGAS ESTIMACIONES'!D11</f>
        <v>299512.54818395601</v>
      </c>
      <c r="E8" s="559">
        <f>[4]IEPSGASINCREMENTO!E11+'[4]IEPSGAS ESTIMACIONES'!E11</f>
        <v>286298.6536621541</v>
      </c>
      <c r="F8" s="559">
        <f>[4]IEPSGASINCREMENTO!F11+'[4]IEPSGAS ESTIMACIONES'!F11</f>
        <v>307821.2383964748</v>
      </c>
      <c r="G8" s="559">
        <f>[4]IEPSGASINCREMENTO!G11+'[4]IEPSGAS ESTIMACIONES'!G11</f>
        <v>302260.3827585337</v>
      </c>
      <c r="H8" s="559">
        <f>[4]IEPSGASINCREMENTO!H11+'[4]IEPSGAS ESTIMACIONES'!H11</f>
        <v>313321.25537628366</v>
      </c>
      <c r="I8" s="559">
        <f>[4]IEPSGASINCREMENTO!I11+'[4]IEPSGAS ESTIMACIONES'!I11</f>
        <v>299351.57617467543</v>
      </c>
      <c r="J8" s="559">
        <f>[4]IEPSGASINCREMENTO!J11+'[4]IEPSGAS ESTIMACIONES'!J11</f>
        <v>304221.46739004867</v>
      </c>
      <c r="K8" s="559">
        <f>[4]IEPSGASINCREMENTO!K11+'[4]IEPSGAS ESTIMACIONES'!K11</f>
        <v>297021.330310071</v>
      </c>
      <c r="L8" s="559">
        <f>[4]IEPSGASINCREMENTO!L11+'[4]IEPSGAS ESTIMACIONES'!L11</f>
        <v>285429.97519951296</v>
      </c>
      <c r="M8" s="559">
        <f>[4]IEPSGASINCREMENTO!M11+'[4]IEPSGAS ESTIMACIONES'!M11</f>
        <v>292814.85745173017</v>
      </c>
      <c r="N8" s="559">
        <f>[4]IEPSGASINCREMENTO!N11+'[4]IEPSGAS ESTIMACIONES'!N11</f>
        <v>278261.92511201667</v>
      </c>
      <c r="O8" s="560">
        <f t="shared" si="0"/>
        <v>3563598.6568178097</v>
      </c>
      <c r="P8" s="561"/>
    </row>
    <row r="9" spans="1:16" ht="12.75" customHeight="1" x14ac:dyDescent="0.2">
      <c r="A9" s="557" t="s">
        <v>276</v>
      </c>
      <c r="B9" s="569"/>
      <c r="C9" s="559">
        <f>[4]IEPSGASINCREMENTO!C12+'[4]IEPSGAS ESTIMACIONES'!C12</f>
        <v>152123.16341179315</v>
      </c>
      <c r="D9" s="559">
        <f>[4]IEPSGASINCREMENTO!D12+'[4]IEPSGAS ESTIMACIONES'!D12</f>
        <v>153283.91297864259</v>
      </c>
      <c r="E9" s="559">
        <f>[4]IEPSGASINCREMENTO!E12+'[4]IEPSGAS ESTIMACIONES'!E12</f>
        <v>143757.45375581307</v>
      </c>
      <c r="F9" s="559">
        <f>[4]IEPSGASINCREMENTO!F12+'[4]IEPSGAS ESTIMACIONES'!F12</f>
        <v>156579.77771525295</v>
      </c>
      <c r="G9" s="559">
        <f>[4]IEPSGASINCREMENTO!G12+'[4]IEPSGAS ESTIMACIONES'!G12</f>
        <v>152324.80390441854</v>
      </c>
      <c r="H9" s="559">
        <f>[4]IEPSGASINCREMENTO!H12+'[4]IEPSGAS ESTIMACIONES'!H12</f>
        <v>159251.58349912107</v>
      </c>
      <c r="I9" s="559">
        <f>[4]IEPSGASINCREMENTO!I12+'[4]IEPSGAS ESTIMACIONES'!I12</f>
        <v>150758.76267360966</v>
      </c>
      <c r="J9" s="559">
        <f>[4]IEPSGASINCREMENTO!J12+'[4]IEPSGAS ESTIMACIONES'!J12</f>
        <v>153631.28906512342</v>
      </c>
      <c r="K9" s="559">
        <f>[4]IEPSGASINCREMENTO!K12+'[4]IEPSGAS ESTIMACIONES'!K12</f>
        <v>150388.43759153117</v>
      </c>
      <c r="L9" s="559">
        <f>[4]IEPSGASINCREMENTO!L12+'[4]IEPSGAS ESTIMACIONES'!L12</f>
        <v>142976.5195940999</v>
      </c>
      <c r="M9" s="559">
        <f>[4]IEPSGASINCREMENTO!M12+'[4]IEPSGAS ESTIMACIONES'!M12</f>
        <v>147786.86913485371</v>
      </c>
      <c r="N9" s="559">
        <f>[4]IEPSGASINCREMENTO!N12+'[4]IEPSGAS ESTIMACIONES'!N12</f>
        <v>144095.0727897188</v>
      </c>
      <c r="O9" s="560">
        <f t="shared" si="0"/>
        <v>1806957.6461139782</v>
      </c>
      <c r="P9" s="561"/>
    </row>
    <row r="10" spans="1:16" ht="12.75" customHeight="1" x14ac:dyDescent="0.2">
      <c r="A10" s="557" t="s">
        <v>149</v>
      </c>
      <c r="B10" s="569"/>
      <c r="C10" s="559">
        <f>[4]IEPSGASINCREMENTO!C13+'[4]IEPSGAS ESTIMACIONES'!C13</f>
        <v>49732.15358347883</v>
      </c>
      <c r="D10" s="559">
        <f>[4]IEPSGASINCREMENTO!D13+'[4]IEPSGAS ESTIMACIONES'!D13</f>
        <v>50104.955027616947</v>
      </c>
      <c r="E10" s="559">
        <f>[4]IEPSGASINCREMENTO!E13+'[4]IEPSGAS ESTIMACIONES'!E13</f>
        <v>47908.450194461497</v>
      </c>
      <c r="F10" s="559">
        <f>[4]IEPSGASINCREMENTO!F13+'[4]IEPSGAS ESTIMACIONES'!F13</f>
        <v>51499.754998811353</v>
      </c>
      <c r="G10" s="559">
        <f>[4]IEPSGASINCREMENTO!G13+'[4]IEPSGAS ESTIMACIONES'!G13</f>
        <v>50576.639082730719</v>
      </c>
      <c r="H10" s="559">
        <f>[4]IEPSGASINCREMENTO!H13+'[4]IEPSGAS ESTIMACIONES'!H13</f>
        <v>52420.569246103027</v>
      </c>
      <c r="I10" s="559">
        <f>[4]IEPSGASINCREMENTO!I13+'[4]IEPSGAS ESTIMACIONES'!I13</f>
        <v>50090.422339830024</v>
      </c>
      <c r="J10" s="559">
        <f>[4]IEPSGASINCREMENTO!J13+'[4]IEPSGAS ESTIMACIONES'!J13</f>
        <v>50903.168846203276</v>
      </c>
      <c r="K10" s="559">
        <f>[4]IEPSGASINCREMENTO!K13+'[4]IEPSGAS ESTIMACIONES'!K13</f>
        <v>49696.426843734676</v>
      </c>
      <c r="L10" s="559">
        <f>[4]IEPSGASINCREMENTO!L13+'[4]IEPSGAS ESTIMACIONES'!L13</f>
        <v>47764.837330455637</v>
      </c>
      <c r="M10" s="559">
        <f>[4]IEPSGASINCREMENTO!M13+'[4]IEPSGAS ESTIMACIONES'!M13</f>
        <v>48995.010427735906</v>
      </c>
      <c r="N10" s="559">
        <f>[4]IEPSGASINCREMENTO!N13+'[4]IEPSGAS ESTIMACIONES'!N13</f>
        <v>46541.414092921143</v>
      </c>
      <c r="O10" s="560">
        <f t="shared" si="0"/>
        <v>596233.80201408314</v>
      </c>
      <c r="P10" s="561"/>
    </row>
    <row r="11" spans="1:16" ht="12.75" customHeight="1" x14ac:dyDescent="0.2">
      <c r="A11" s="557" t="s">
        <v>150</v>
      </c>
      <c r="B11" s="569"/>
      <c r="C11" s="559">
        <f>[4]IEPSGASINCREMENTO!C14+'[4]IEPSGAS ESTIMACIONES'!C14</f>
        <v>119587.20758981175</v>
      </c>
      <c r="D11" s="559">
        <f>[4]IEPSGASINCREMENTO!D14+'[4]IEPSGAS ESTIMACIONES'!D14</f>
        <v>120478.89904626022</v>
      </c>
      <c r="E11" s="559">
        <f>[4]IEPSGASINCREMENTO!E14+'[4]IEPSGAS ESTIMACIONES'!E14</f>
        <v>115851.56444765819</v>
      </c>
      <c r="F11" s="559">
        <f>[4]IEPSGASINCREMENTO!F14+'[4]IEPSGAS ESTIMACIONES'!F14</f>
        <v>124059.1101903736</v>
      </c>
      <c r="G11" s="559">
        <f>[4]IEPSGASINCREMENTO!G14+'[4]IEPSGAS ESTIMACIONES'!G14</f>
        <v>122172.98127823528</v>
      </c>
      <c r="H11" s="559">
        <f>[4]IEPSGASINCREMENTO!H14+'[4]IEPSGAS ESTIMACIONES'!H14</f>
        <v>126307.08092673833</v>
      </c>
      <c r="I11" s="559">
        <f>[4]IEPSGASINCREMENTO!I14+'[4]IEPSGAS ESTIMACIONES'!I14</f>
        <v>121022.17416028492</v>
      </c>
      <c r="J11" s="559">
        <f>[4]IEPSGASINCREMENTO!J14+'[4]IEPSGAS ESTIMACIONES'!J14</f>
        <v>122886.44660871149</v>
      </c>
      <c r="K11" s="559">
        <f>[4]IEPSGASINCREMENTO!K14+'[4]IEPSGAS ESTIMACIONES'!K14</f>
        <v>119880.16949595929</v>
      </c>
      <c r="L11" s="559">
        <f>[4]IEPSGASINCREMENTO!L14+'[4]IEPSGAS ESTIMACIONES'!L14</f>
        <v>115585.86242473146</v>
      </c>
      <c r="M11" s="559">
        <f>[4]IEPSGASINCREMENTO!M14+'[4]IEPSGAS ESTIMACIONES'!M14</f>
        <v>118299.82343410715</v>
      </c>
      <c r="N11" s="559">
        <f>[4]IEPSGASINCREMENTO!N14+'[4]IEPSGAS ESTIMACIONES'!N14</f>
        <v>111510.98854304329</v>
      </c>
      <c r="O11" s="560">
        <f t="shared" si="0"/>
        <v>1437642.3081459152</v>
      </c>
      <c r="P11" s="561"/>
    </row>
    <row r="12" spans="1:16" ht="12.75" customHeight="1" x14ac:dyDescent="0.2">
      <c r="A12" s="557" t="s">
        <v>151</v>
      </c>
      <c r="B12" s="569"/>
      <c r="C12" s="559">
        <f>[4]IEPSGASINCREMENTO!C15+'[4]IEPSGAS ESTIMACIONES'!C15</f>
        <v>74889.163272332866</v>
      </c>
      <c r="D12" s="559">
        <f>[4]IEPSGASINCREMENTO!D15+'[4]IEPSGAS ESTIMACIONES'!D15</f>
        <v>75448.392320033046</v>
      </c>
      <c r="E12" s="559">
        <f>[4]IEPSGASINCREMENTO!E15+'[4]IEPSGAS ESTIMACIONES'!E15</f>
        <v>72437.15542032673</v>
      </c>
      <c r="F12" s="559">
        <f>[4]IEPSGASINCREMENTO!F15+'[4]IEPSGAS ESTIMACIONES'!F15</f>
        <v>77651.207191460606</v>
      </c>
      <c r="G12" s="559">
        <f>[4]IEPSGASINCREMENTO!G15+'[4]IEPSGAS ESTIMACIONES'!G15</f>
        <v>76412.216667871238</v>
      </c>
      <c r="H12" s="559">
        <f>[4]IEPSGASINCREMENTO!H15+'[4]IEPSGAS ESTIMACIONES'!H15</f>
        <v>79053.102714693508</v>
      </c>
      <c r="I12" s="559">
        <f>[4]IEPSGASINCREMENTO!I15+'[4]IEPSGAS ESTIMACIONES'!I15</f>
        <v>75688.362686004708</v>
      </c>
      <c r="J12" s="559">
        <f>[4]IEPSGASINCREMENTO!J15+'[4]IEPSGAS ESTIMACIONES'!J15</f>
        <v>76871.443816500483</v>
      </c>
      <c r="K12" s="559">
        <f>[4]IEPSGASINCREMENTO!K15+'[4]IEPSGAS ESTIMACIONES'!K15</f>
        <v>75006.940718951941</v>
      </c>
      <c r="L12" s="559">
        <f>[4]IEPSGASINCREMENTO!L15+'[4]IEPSGAS ESTIMACIONES'!L15</f>
        <v>72256.958839315426</v>
      </c>
      <c r="M12" s="559">
        <f>[4]IEPSGASINCREMENTO!M15+'[4]IEPSGAS ESTIMACIONES'!M15</f>
        <v>73998.851071968063</v>
      </c>
      <c r="N12" s="559">
        <f>[4]IEPSGASINCREMENTO!N15+'[4]IEPSGAS ESTIMACIONES'!N15</f>
        <v>69901.574349317292</v>
      </c>
      <c r="O12" s="560">
        <f t="shared" si="0"/>
        <v>899615.36906877602</v>
      </c>
      <c r="P12" s="561"/>
    </row>
    <row r="13" spans="1:16" ht="12.75" customHeight="1" x14ac:dyDescent="0.2">
      <c r="A13" s="557" t="s">
        <v>152</v>
      </c>
      <c r="B13" s="569"/>
      <c r="C13" s="559">
        <f>[4]IEPSGASINCREMENTO!C16+'[4]IEPSGAS ESTIMACIONES'!C16</f>
        <v>56745.24320938866</v>
      </c>
      <c r="D13" s="559">
        <f>[4]IEPSGASINCREMENTO!D16+'[4]IEPSGAS ESTIMACIONES'!D16</f>
        <v>57170.212089921333</v>
      </c>
      <c r="E13" s="559">
        <f>[4]IEPSGASINCREMENTO!E16+'[4]IEPSGAS ESTIMACIONES'!E16</f>
        <v>54719.546446642889</v>
      </c>
      <c r="F13" s="559">
        <f>[4]IEPSGASINCREMENTO!F16+'[4]IEPSGAS ESTIMACIONES'!F16</f>
        <v>58780.91836396898</v>
      </c>
      <c r="G13" s="559">
        <f>[4]IEPSGASINCREMENTO!G16+'[4]IEPSGAS ESTIMACIONES'!G16</f>
        <v>57755.962941433645</v>
      </c>
      <c r="H13" s="559">
        <f>[4]IEPSGASINCREMENTO!H16+'[4]IEPSGAS ESTIMACIONES'!H16</f>
        <v>59834.450419482164</v>
      </c>
      <c r="I13" s="559">
        <f>[4]IEPSGASINCREMENTO!I16+'[4]IEPSGAS ESTIMACIONES'!I16</f>
        <v>57202.740841031067</v>
      </c>
      <c r="J13" s="559">
        <f>[4]IEPSGASINCREMENTO!J16+'[4]IEPSGAS ESTIMACIONES'!J16</f>
        <v>58122.447829746132</v>
      </c>
      <c r="K13" s="559">
        <f>[4]IEPSGASINCREMENTO!K16+'[4]IEPSGAS ESTIMACIONES'!K16</f>
        <v>56736.657569553645</v>
      </c>
      <c r="L13" s="559">
        <f>[4]IEPSGASINCREMENTO!L16+'[4]IEPSGAS ESTIMACIONES'!L16</f>
        <v>54562.445284829759</v>
      </c>
      <c r="M13" s="559">
        <f>[4]IEPSGASINCREMENTO!M16+'[4]IEPSGAS ESTIMACIONES'!M16</f>
        <v>55945.357697587664</v>
      </c>
      <c r="N13" s="559">
        <f>[4]IEPSGASINCREMENTO!N16+'[4]IEPSGAS ESTIMACIONES'!N16</f>
        <v>53070.267788921046</v>
      </c>
      <c r="O13" s="560">
        <f t="shared" si="0"/>
        <v>680646.25048250693</v>
      </c>
      <c r="P13" s="561"/>
    </row>
    <row r="14" spans="1:16" ht="12.75" customHeight="1" x14ac:dyDescent="0.2">
      <c r="A14" s="557" t="s">
        <v>153</v>
      </c>
      <c r="B14" s="569"/>
      <c r="C14" s="559">
        <f>[4]IEPSGASINCREMENTO!C17+'[4]IEPSGAS ESTIMACIONES'!C17</f>
        <v>145752.82676427998</v>
      </c>
      <c r="D14" s="559">
        <f>[4]IEPSGASINCREMENTO!D17+'[4]IEPSGAS ESTIMACIONES'!D17</f>
        <v>146829.48754779249</v>
      </c>
      <c r="E14" s="559">
        <f>[4]IEPSGASINCREMENTO!E17+'[4]IEPSGAS ESTIMACIONES'!E17</f>
        <v>142583.79936821543</v>
      </c>
      <c r="F14" s="559">
        <f>[4]IEPSGASINCREMENTO!F17+'[4]IEPSGAS ESTIMACIONES'!F17</f>
        <v>151674.99034096661</v>
      </c>
      <c r="G14" s="559">
        <f>[4]IEPSGASINCREMENTO!G17+'[4]IEPSGAS ESTIMACIONES'!G17</f>
        <v>150086.86477377423</v>
      </c>
      <c r="H14" s="559">
        <f>[4]IEPSGASINCREMENTO!H17+'[4]IEPSGAS ESTIMACIONES'!H17</f>
        <v>154486.72681937757</v>
      </c>
      <c r="I14" s="559">
        <f>[4]IEPSGASINCREMENTO!I17+'[4]IEPSGAS ESTIMACIONES'!I17</f>
        <v>148723.37722110859</v>
      </c>
      <c r="J14" s="559">
        <f>[4]IEPSGASINCREMENTO!J17+'[4]IEPSGAS ESTIMACIONES'!J17</f>
        <v>150803.66297348967</v>
      </c>
      <c r="K14" s="559">
        <f>[4]IEPSGASINCREMENTO!K17+'[4]IEPSGAS ESTIMACIONES'!K17</f>
        <v>146916.97362572429</v>
      </c>
      <c r="L14" s="559">
        <f>[4]IEPSGASINCREMENTO!L17+'[4]IEPSGAS ESTIMACIONES'!L17</f>
        <v>142429.59919506795</v>
      </c>
      <c r="M14" s="559">
        <f>[4]IEPSGASINCREMENTO!M17+'[4]IEPSGAS ESTIMACIONES'!M17</f>
        <v>145217.28792884928</v>
      </c>
      <c r="N14" s="559">
        <f>[4]IEPSGASINCREMENTO!N17+'[4]IEPSGAS ESTIMACIONES'!N17</f>
        <v>135049.59051396593</v>
      </c>
      <c r="O14" s="560">
        <f t="shared" si="0"/>
        <v>1760555.1870726119</v>
      </c>
      <c r="P14" s="561"/>
    </row>
    <row r="15" spans="1:16" ht="12.75" customHeight="1" x14ac:dyDescent="0.2">
      <c r="A15" s="557" t="s">
        <v>154</v>
      </c>
      <c r="B15" s="569"/>
      <c r="C15" s="559">
        <f>[4]IEPSGASINCREMENTO!C18+'[4]IEPSGAS ESTIMACIONES'!C18</f>
        <v>98523.675122028711</v>
      </c>
      <c r="D15" s="559">
        <f>[4]IEPSGASINCREMENTO!D18+'[4]IEPSGAS ESTIMACIONES'!D18</f>
        <v>99260.947188703372</v>
      </c>
      <c r="E15" s="559">
        <f>[4]IEPSGASINCREMENTO!E18+'[4]IEPSGAS ESTIMACIONES'!E18</f>
        <v>95085.552011219406</v>
      </c>
      <c r="F15" s="559">
        <f>[4]IEPSGASINCREMENTO!F18+'[4]IEPSGAS ESTIMACIONES'!F18</f>
        <v>102085.03345488779</v>
      </c>
      <c r="G15" s="559">
        <f>[4]IEPSGASINCREMENTO!G18+'[4]IEPSGAS ESTIMACIONES'!G18</f>
        <v>100346.01838283156</v>
      </c>
      <c r="H15" s="559">
        <f>[4]IEPSGASINCREMENTO!H18+'[4]IEPSGAS ESTIMACIONES'!H18</f>
        <v>103918.32776493867</v>
      </c>
      <c r="I15" s="559">
        <f>[4]IEPSGASINCREMENTO!I18+'[4]IEPSGAS ESTIMACIONES'!I18</f>
        <v>99387.721322026831</v>
      </c>
      <c r="J15" s="559">
        <f>[4]IEPSGASINCREMENTO!J18+'[4]IEPSGAS ESTIMACIONES'!J18</f>
        <v>100973.60732078303</v>
      </c>
      <c r="K15" s="559">
        <f>[4]IEPSGASINCREMENTO!K18+'[4]IEPSGAS ESTIMACIONES'!K18</f>
        <v>98554.828998593046</v>
      </c>
      <c r="L15" s="559">
        <f>[4]IEPSGASINCREMENTO!L18+'[4]IEPSGAS ESTIMACIONES'!L18</f>
        <v>94822.467087724421</v>
      </c>
      <c r="M15" s="559">
        <f>[4]IEPSGASINCREMENTO!M18+'[4]IEPSGAS ESTIMACIONES'!M18</f>
        <v>97193.861105965989</v>
      </c>
      <c r="N15" s="559">
        <f>[4]IEPSGASINCREMENTO!N18+'[4]IEPSGAS ESTIMACIONES'!N18</f>
        <v>92093.938085297297</v>
      </c>
      <c r="O15" s="560">
        <f t="shared" si="0"/>
        <v>1182245.9778450001</v>
      </c>
      <c r="P15" s="561"/>
    </row>
    <row r="16" spans="1:16" ht="12.75" customHeight="1" x14ac:dyDescent="0.2">
      <c r="A16" s="557" t="s">
        <v>155</v>
      </c>
      <c r="B16" s="569"/>
      <c r="C16" s="559">
        <f>[4]IEPSGASINCREMENTO!C19+'[4]IEPSGAS ESTIMACIONES'!C19</f>
        <v>175769.49091383175</v>
      </c>
      <c r="D16" s="559">
        <f>[4]IEPSGASINCREMENTO!D19+'[4]IEPSGAS ESTIMACIONES'!D19</f>
        <v>177083.96048798432</v>
      </c>
      <c r="E16" s="559">
        <f>[4]IEPSGASINCREMENTO!E19+'[4]IEPSGAS ESTIMACIONES'!E19</f>
        <v>169751.61420175934</v>
      </c>
      <c r="F16" s="559">
        <f>[4]IEPSGASINCREMENTO!F19+'[4]IEPSGAS ESTIMACIONES'!F19</f>
        <v>182162.56580597573</v>
      </c>
      <c r="G16" s="559">
        <f>[4]IEPSGASINCREMENTO!G19+'[4]IEPSGAS ESTIMACIONES'!G19</f>
        <v>179119.59513485848</v>
      </c>
      <c r="H16" s="559">
        <f>[4]IEPSGASINCREMENTO!H19+'[4]IEPSGAS ESTIMACIONES'!H19</f>
        <v>185439.24287550888</v>
      </c>
      <c r="I16" s="559">
        <f>[4]IEPSGASINCREMENTO!I19+'[4]IEPSGAS ESTIMACIONES'!I19</f>
        <v>177413.23577857245</v>
      </c>
      <c r="J16" s="559">
        <f>[4]IEPSGASINCREMENTO!J19+'[4]IEPSGAS ESTIMACIONES'!J19</f>
        <v>180226.44633056334</v>
      </c>
      <c r="K16" s="559">
        <f>[4]IEPSGASINCREMENTO!K19+'[4]IEPSGAS ESTIMACIONES'!K19</f>
        <v>175892.62930066464</v>
      </c>
      <c r="L16" s="559">
        <f>[4]IEPSGASINCREMENTO!L19+'[4]IEPSGAS ESTIMACIONES'!L19</f>
        <v>169296.46187523025</v>
      </c>
      <c r="M16" s="559">
        <f>[4]IEPSGASINCREMENTO!M19+'[4]IEPSGAS ESTIMACIONES'!M19</f>
        <v>173483.57222442765</v>
      </c>
      <c r="N16" s="559">
        <f>[4]IEPSGASINCREMENTO!N19+'[4]IEPSGAS ESTIMACIONES'!N19</f>
        <v>164226.64407634322</v>
      </c>
      <c r="O16" s="560">
        <f t="shared" si="0"/>
        <v>2109865.4590057204</v>
      </c>
      <c r="P16" s="561"/>
    </row>
    <row r="17" spans="1:17" ht="12.75" customHeight="1" x14ac:dyDescent="0.2">
      <c r="A17" s="557" t="s">
        <v>277</v>
      </c>
      <c r="B17" s="569"/>
      <c r="C17" s="559">
        <f>[4]IEPSGASINCREMENTO!C20+'[4]IEPSGAS ESTIMACIONES'!C20</f>
        <v>32244.572900163199</v>
      </c>
      <c r="D17" s="559">
        <f>[4]IEPSGASINCREMENTO!D20+'[4]IEPSGAS ESTIMACIONES'!D20</f>
        <v>32482.755758432409</v>
      </c>
      <c r="E17" s="559">
        <f>[4]IEPSGASINCREMENTO!E20+'[4]IEPSGAS ESTIMACIONES'!E20</f>
        <v>31544.097903691505</v>
      </c>
      <c r="F17" s="559">
        <f>[4]IEPSGASINCREMENTO!F20+'[4]IEPSGAS ESTIMACIONES'!F20</f>
        <v>33554.925127905692</v>
      </c>
      <c r="G17" s="559">
        <f>[4]IEPSGASINCREMENTO!G20+'[4]IEPSGAS ESTIMACIONES'!G20</f>
        <v>33203.896716739029</v>
      </c>
      <c r="H17" s="559">
        <f>[4]IEPSGASINCREMENTO!H20+'[4]IEPSGAS ESTIMACIONES'!H20</f>
        <v>34176.990593056005</v>
      </c>
      <c r="I17" s="559">
        <f>[4]IEPSGASINCREMENTO!I20+'[4]IEPSGAS ESTIMACIONES'!I20</f>
        <v>32902.272416213636</v>
      </c>
      <c r="J17" s="559">
        <f>[4]IEPSGASINCREMENTO!J20+'[4]IEPSGAS ESTIMACIONES'!J20</f>
        <v>33362.405945649196</v>
      </c>
      <c r="K17" s="559">
        <f>[4]IEPSGASINCREMENTO!K20+'[4]IEPSGAS ESTIMACIONES'!K20</f>
        <v>32502.465503916759</v>
      </c>
      <c r="L17" s="559">
        <f>[4]IEPSGASINCREMENTO!L20+'[4]IEPSGAS ESTIMACIONES'!L20</f>
        <v>31510.058315899114</v>
      </c>
      <c r="M17" s="559">
        <f>[4]IEPSGASINCREMENTO!M20+'[4]IEPSGAS ESTIMACIONES'!M20</f>
        <v>32126.546301778541</v>
      </c>
      <c r="N17" s="559">
        <f>[4]IEPSGASINCREMENTO!N20+'[4]IEPSGAS ESTIMACIONES'!N20</f>
        <v>29876.345831047904</v>
      </c>
      <c r="O17" s="560">
        <f t="shared" si="0"/>
        <v>389487.33331449301</v>
      </c>
      <c r="P17" s="561"/>
    </row>
    <row r="18" spans="1:17" ht="12.75" customHeight="1" x14ac:dyDescent="0.2">
      <c r="A18" s="557" t="s">
        <v>278</v>
      </c>
      <c r="B18" s="569"/>
      <c r="C18" s="559">
        <f>[4]IEPSGASINCREMENTO!C21+'[4]IEPSGAS ESTIMACIONES'!C21</f>
        <v>98925.538994396033</v>
      </c>
      <c r="D18" s="559">
        <f>[4]IEPSGASINCREMENTO!D21+'[4]IEPSGAS ESTIMACIONES'!D21</f>
        <v>99658.720048617077</v>
      </c>
      <c r="E18" s="559">
        <f>[4]IEPSGASINCREMENTO!E21+'[4]IEPSGAS ESTIMACIONES'!E21</f>
        <v>96442.941674501766</v>
      </c>
      <c r="F18" s="559">
        <f>[4]IEPSGASINCREMENTO!F21+'[4]IEPSGAS ESTIMACIONES'!F21</f>
        <v>102831.95332735998</v>
      </c>
      <c r="G18" s="559">
        <f>[4]IEPSGASINCREMENTO!G21+'[4]IEPSGAS ESTIMACIONES'!G21</f>
        <v>101583.72092546223</v>
      </c>
      <c r="H18" s="559">
        <f>[4]IEPSGASINCREMENTO!H21+'[4]IEPSGAS ESTIMACIONES'!H21</f>
        <v>104723.10295359092</v>
      </c>
      <c r="I18" s="559">
        <f>[4]IEPSGASINCREMENTO!I21+'[4]IEPSGAS ESTIMACIONES'!I21</f>
        <v>100648.91773019769</v>
      </c>
      <c r="J18" s="559">
        <f>[4]IEPSGASINCREMENTO!J21+'[4]IEPSGAS ESTIMACIONES'!J21</f>
        <v>102106.84377843895</v>
      </c>
      <c r="K18" s="559">
        <f>[4]IEPSGASINCREMENTO!K21+'[4]IEPSGAS ESTIMACIONES'!K21</f>
        <v>99522.227708551873</v>
      </c>
      <c r="L18" s="559">
        <f>[4]IEPSGASINCREMENTO!L21+'[4]IEPSGAS ESTIMACIONES'!L21</f>
        <v>96297.623998612922</v>
      </c>
      <c r="M18" s="559">
        <f>[4]IEPSGASINCREMENTO!M21+'[4]IEPSGAS ESTIMACIONES'!M21</f>
        <v>98314.341869316195</v>
      </c>
      <c r="N18" s="559">
        <f>[4]IEPSGASINCREMENTO!N21+'[4]IEPSGAS ESTIMACIONES'!N21</f>
        <v>91867.137136711375</v>
      </c>
      <c r="O18" s="560">
        <f t="shared" si="0"/>
        <v>1192923.0701457569</v>
      </c>
      <c r="P18" s="561"/>
    </row>
    <row r="19" spans="1:17" ht="12.75" customHeight="1" x14ac:dyDescent="0.2">
      <c r="A19" s="557" t="s">
        <v>279</v>
      </c>
      <c r="B19" s="569"/>
      <c r="C19" s="559">
        <f>[4]IEPSGASINCREMENTO!C22+'[4]IEPSGAS ESTIMACIONES'!C22</f>
        <v>393755.89238314558</v>
      </c>
      <c r="D19" s="559">
        <f>[4]IEPSGASINCREMENTO!D22+'[4]IEPSGAS ESTIMACIONES'!D22</f>
        <v>396696.90504874708</v>
      </c>
      <c r="E19" s="559">
        <f>[4]IEPSGASINCREMENTO!E22+'[4]IEPSGAS ESTIMACIONES'!E22</f>
        <v>380771.96433006652</v>
      </c>
      <c r="F19" s="559">
        <f>[4]IEPSGASINCREMENTO!F22+'[4]IEPSGAS ESTIMACIONES'!F22</f>
        <v>408247.05988672789</v>
      </c>
      <c r="G19" s="559">
        <f>[4]IEPSGASINCREMENTO!G22+'[4]IEPSGAS ESTIMACIONES'!G22</f>
        <v>401685.57597452489</v>
      </c>
      <c r="H19" s="559">
        <f>[4]IEPSGASINCREMENTO!H22+'[4]IEPSGAS ESTIMACIONES'!H22</f>
        <v>415613.25280932849</v>
      </c>
      <c r="I19" s="559">
        <f>[4]IEPSGASINCREMENTO!I22+'[4]IEPSGAS ESTIMACIONES'!I22</f>
        <v>397877.0711397655</v>
      </c>
      <c r="J19" s="559">
        <f>[4]IEPSGASINCREMENTO!J22+'[4]IEPSGAS ESTIMACIONES'!J22</f>
        <v>404110.23893257522</v>
      </c>
      <c r="K19" s="559">
        <f>[4]IEPSGASINCREMENTO!K22+'[4]IEPSGAS ESTIMACIONES'!K22</f>
        <v>394321.70612110081</v>
      </c>
      <c r="L19" s="559">
        <f>[4]IEPSGASINCREMENTO!L22+'[4]IEPSGAS ESTIMACIONES'!L22</f>
        <v>379813.28519331524</v>
      </c>
      <c r="M19" s="559">
        <f>[4]IEPSGASINCREMENTO!M22+'[4]IEPSGAS ESTIMACIONES'!M22</f>
        <v>389006.32925429335</v>
      </c>
      <c r="N19" s="559">
        <f>[4]IEPSGASINCREMENTO!N22+'[4]IEPSGAS ESTIMACIONES'!N22</f>
        <v>367588.84670672065</v>
      </c>
      <c r="O19" s="560">
        <f t="shared" si="0"/>
        <v>4729488.1277803117</v>
      </c>
      <c r="P19" s="561"/>
    </row>
    <row r="20" spans="1:17" ht="12.75" customHeight="1" x14ac:dyDescent="0.2">
      <c r="A20" s="557" t="s">
        <v>159</v>
      </c>
      <c r="B20" s="569"/>
      <c r="C20" s="559">
        <f>[4]IEPSGASINCREMENTO!C23+'[4]IEPSGAS ESTIMACIONES'!C23</f>
        <v>169225.698249257</v>
      </c>
      <c r="D20" s="559">
        <f>[4]IEPSGASINCREMENTO!D23+'[4]IEPSGAS ESTIMACIONES'!D23</f>
        <v>170477.60653589905</v>
      </c>
      <c r="E20" s="559">
        <f>[4]IEPSGASINCREMENTO!E23+'[4]IEPSGAS ESTIMACIONES'!E23</f>
        <v>165292.81853737676</v>
      </c>
      <c r="F20" s="559">
        <f>[4]IEPSGASINCREMENTO!F23+'[4]IEPSGAS ESTIMACIONES'!F23</f>
        <v>176015.18223143648</v>
      </c>
      <c r="G20" s="559">
        <f>[4]IEPSGASINCREMENTO!G23+'[4]IEPSGAS ESTIMACIONES'!G23</f>
        <v>174041.12346011598</v>
      </c>
      <c r="H20" s="559">
        <f>[4]IEPSGASINCREMENTO!H23+'[4]IEPSGAS ESTIMACIONES'!H23</f>
        <v>179266.56539447288</v>
      </c>
      <c r="I20" s="559">
        <f>[4]IEPSGASINCREMENTO!I23+'[4]IEPSGAS ESTIMACIONES'!I23</f>
        <v>172450.88748462795</v>
      </c>
      <c r="J20" s="559">
        <f>[4]IEPSGASINCREMENTO!J23+'[4]IEPSGAS ESTIMACIONES'!J23</f>
        <v>174901.341465773</v>
      </c>
      <c r="K20" s="559">
        <f>[4]IEPSGASINCREMENTO!K23+'[4]IEPSGAS ESTIMACIONES'!K23</f>
        <v>170429.49706647469</v>
      </c>
      <c r="L20" s="559">
        <f>[4]IEPSGASINCREMENTO!L23+'[4]IEPSGAS ESTIMACIONES'!L23</f>
        <v>165082.71363244698</v>
      </c>
      <c r="M20" s="559">
        <f>[4]IEPSGASINCREMENTO!M23+'[4]IEPSGAS ESTIMACIONES'!M23</f>
        <v>168414.60870855919</v>
      </c>
      <c r="N20" s="559">
        <f>[4]IEPSGASINCREMENTO!N23+'[4]IEPSGAS ESTIMACIONES'!N23</f>
        <v>156956.26233550004</v>
      </c>
      <c r="O20" s="560">
        <f t="shared" si="0"/>
        <v>2042554.3051019402</v>
      </c>
      <c r="P20" s="561"/>
    </row>
    <row r="21" spans="1:17" ht="12.75" customHeight="1" x14ac:dyDescent="0.2">
      <c r="A21" s="557" t="s">
        <v>160</v>
      </c>
      <c r="B21" s="571"/>
      <c r="C21" s="559">
        <f>[4]IEPSGASINCREMENTO!C24+'[4]IEPSGAS ESTIMACIONES'!C24</f>
        <v>1601666.9082936733</v>
      </c>
      <c r="D21" s="559">
        <f>[4]IEPSGASINCREMENTO!D24+'[4]IEPSGAS ESTIMACIONES'!D24</f>
        <v>1613711.5359917465</v>
      </c>
      <c r="E21" s="559">
        <f>[4]IEPSGASINCREMENTO!E24+'[4]IEPSGAS ESTIMACIONES'!E24</f>
        <v>1537710.3634869189</v>
      </c>
      <c r="F21" s="559">
        <f>[4]IEPSGASINCREMENTO!F24+'[4]IEPSGAS ESTIMACIONES'!F24</f>
        <v>1656813.5953335939</v>
      </c>
      <c r="G21" s="559">
        <f>[4]IEPSGASINCREMENTO!G24+'[4]IEPSGAS ESTIMACIONES'!G24</f>
        <v>1624401.9778432944</v>
      </c>
      <c r="H21" s="559">
        <f>[4]IEPSGASINCREMENTO!H24+'[4]IEPSGAS ESTIMACIONES'!H24</f>
        <v>1686197.8471734927</v>
      </c>
      <c r="I21" s="559">
        <f>[4]IEPSGASINCREMENTO!I24+'[4]IEPSGAS ESTIMACIONES'!I24</f>
        <v>1608595.3404142766</v>
      </c>
      <c r="J21" s="559">
        <f>[4]IEPSGASINCREMENTO!J24+'[4]IEPSGAS ESTIMACIONES'!J24</f>
        <v>1635494.6596498573</v>
      </c>
      <c r="K21" s="559">
        <f>[4]IEPSGASINCREMENTO!K24+'[4]IEPSGAS ESTIMACIONES'!K24</f>
        <v>1597470.6553665572</v>
      </c>
      <c r="L21" s="559">
        <f>[4]IEPSGASINCREMENTO!L24+'[4]IEPSGAS ESTIMACIONES'!L24</f>
        <v>1532445.0384038694</v>
      </c>
      <c r="M21" s="559">
        <f>[4]IEPSGASINCREMENTO!M24+'[4]IEPSGAS ESTIMACIONES'!M24</f>
        <v>1574026.4359983567</v>
      </c>
      <c r="N21" s="559">
        <f>[4]IEPSGASINCREMENTO!N24+'[4]IEPSGAS ESTIMACIONES'!N24</f>
        <v>1502151.5056712769</v>
      </c>
      <c r="O21" s="560">
        <f t="shared" si="0"/>
        <v>19170685.863626912</v>
      </c>
      <c r="P21" s="561"/>
      <c r="Q21" s="561"/>
    </row>
    <row r="22" spans="1:17" ht="12.75" customHeight="1" x14ac:dyDescent="0.2">
      <c r="A22" s="557" t="s">
        <v>161</v>
      </c>
      <c r="B22" s="571"/>
      <c r="C22" s="559">
        <f>[4]IEPSGASINCREMENTO!C25+'[4]IEPSGAS ESTIMACIONES'!C25</f>
        <v>129733.05102227838</v>
      </c>
      <c r="D22" s="559">
        <f>[4]IEPSGASINCREMENTO!D25+'[4]IEPSGAS ESTIMACIONES'!D25</f>
        <v>130693.40099678151</v>
      </c>
      <c r="E22" s="559">
        <f>[4]IEPSGASINCREMENTO!E25+'[4]IEPSGAS ESTIMACIONES'!E25</f>
        <v>126635.65795584465</v>
      </c>
      <c r="F22" s="559">
        <f>[4]IEPSGASINCREMENTO!F25+'[4]IEPSGAS ESTIMACIONES'!F25</f>
        <v>134909.9846963693</v>
      </c>
      <c r="G22" s="559">
        <f>[4]IEPSGASINCREMENTO!G25+'[4]IEPSGAS ESTIMACIONES'!G25</f>
        <v>133354.33466609681</v>
      </c>
      <c r="H22" s="559">
        <f>[4]IEPSGASINCREMENTO!H25+'[4]IEPSGAS ESTIMACIONES'!H25</f>
        <v>137398.30564011377</v>
      </c>
      <c r="I22" s="559">
        <f>[4]IEPSGASINCREMENTO!I25+'[4]IEPSGAS ESTIMACIONES'!I25</f>
        <v>132132.88905921826</v>
      </c>
      <c r="J22" s="559">
        <f>[4]IEPSGASINCREMENTO!J25+'[4]IEPSGAS ESTIMACIONES'!J25</f>
        <v>134022.89060229436</v>
      </c>
      <c r="K22" s="559">
        <f>[4]IEPSGASINCREMENTO!K25+'[4]IEPSGAS ESTIMACIONES'!K25</f>
        <v>130607.89837134602</v>
      </c>
      <c r="L22" s="559">
        <f>[4]IEPSGASINCREMENTO!L25+'[4]IEPSGAS ESTIMACIONES'!L25</f>
        <v>126464.49316368713</v>
      </c>
      <c r="M22" s="559">
        <f>[4]IEPSGASINCREMENTO!M25+'[4]IEPSGAS ESTIMACIONES'!M25</f>
        <v>129049.75774845442</v>
      </c>
      <c r="N22" s="559">
        <f>[4]IEPSGASINCREMENTO!N25+'[4]IEPSGAS ESTIMACIONES'!N25</f>
        <v>120378.12836981633</v>
      </c>
      <c r="O22" s="560">
        <f t="shared" si="0"/>
        <v>1565380.7922923011</v>
      </c>
      <c r="P22" s="561"/>
      <c r="Q22" s="561"/>
    </row>
    <row r="23" spans="1:17" ht="12.75" customHeight="1" thickBot="1" x14ac:dyDescent="0.25">
      <c r="A23" s="557" t="s">
        <v>162</v>
      </c>
      <c r="B23" s="570"/>
      <c r="C23" s="559">
        <f>[4]IEPSGASINCREMENTO!C26+'[4]IEPSGAS ESTIMACIONES'!C26</f>
        <v>210541.61277504975</v>
      </c>
      <c r="D23" s="559">
        <f>[4]IEPSGASINCREMENTO!D26+'[4]IEPSGAS ESTIMACIONES'!D26</f>
        <v>212140.72881083639</v>
      </c>
      <c r="E23" s="559">
        <f>[4]IEPSGASINCREMENTO!E26+'[4]IEPSGAS ESTIMACIONES'!E26</f>
        <v>199972.07473718171</v>
      </c>
      <c r="F23" s="559">
        <f>[4]IEPSGASINCREMENTO!F26+'[4]IEPSGAS ESTIMACIONES'!F26</f>
        <v>217053.56243615621</v>
      </c>
      <c r="G23" s="559">
        <f>[4]IEPSGASINCREMENTO!G26+'[4]IEPSGAS ESTIMACIONES'!G26</f>
        <v>211682.61048789503</v>
      </c>
      <c r="H23" s="559">
        <f>[4]IEPSGASINCREMENTO!H26+'[4]IEPSGAS ESTIMACIONES'!H26</f>
        <v>220803.81290880707</v>
      </c>
      <c r="I23" s="559">
        <f>[4]IEPSGASINCREMENTO!I26+'[4]IEPSGAS ESTIMACIONES'!I26</f>
        <v>209543.68828706257</v>
      </c>
      <c r="J23" s="559">
        <f>[4]IEPSGASINCREMENTO!J26+'[4]IEPSGAS ESTIMACIONES'!J26</f>
        <v>213379.4568178448</v>
      </c>
      <c r="K23" s="559">
        <f>[4]IEPSGASINCREMENTO!K26+'[4]IEPSGAS ESTIMACIONES'!K26</f>
        <v>208729.00056958129</v>
      </c>
      <c r="L23" s="559">
        <f>[4]IEPSGASINCREMENTO!L26+'[4]IEPSGAS ESTIMACIONES'!L26</f>
        <v>199014.89430526807</v>
      </c>
      <c r="M23" s="559">
        <f>[4]IEPSGASINCREMENTO!M26+'[4]IEPSGAS ESTIMACIONES'!M26</f>
        <v>205293.42746177263</v>
      </c>
      <c r="N23" s="559">
        <f>[4]IEPSGASINCREMENTO!N26+'[4]IEPSGAS ESTIMACIONES'!N26</f>
        <v>198803.75519895245</v>
      </c>
      <c r="O23" s="560">
        <f t="shared" si="0"/>
        <v>2506958.6247964082</v>
      </c>
      <c r="P23" s="561"/>
    </row>
    <row r="24" spans="1:17" ht="13.5" thickBot="1" x14ac:dyDescent="0.25">
      <c r="A24" s="562" t="s">
        <v>280</v>
      </c>
      <c r="B24" s="563">
        <f t="shared" ref="B24:O24" si="1">SUM(B4:B23)</f>
        <v>0</v>
      </c>
      <c r="C24" s="564">
        <f t="shared" si="1"/>
        <v>4539603.375</v>
      </c>
      <c r="D24" s="564">
        <f t="shared" si="1"/>
        <v>4573786.95</v>
      </c>
      <c r="E24" s="564">
        <f t="shared" si="1"/>
        <v>4352117.1749999998</v>
      </c>
      <c r="F24" s="564">
        <f t="shared" si="1"/>
        <v>4693787.0999999996</v>
      </c>
      <c r="G24" s="564">
        <f t="shared" si="1"/>
        <v>4598731.8000000007</v>
      </c>
      <c r="H24" s="564">
        <f t="shared" si="1"/>
        <v>4776747.9749999996</v>
      </c>
      <c r="I24" s="564">
        <f t="shared" si="1"/>
        <v>4553755.4249999998</v>
      </c>
      <c r="J24" s="564">
        <f t="shared" si="1"/>
        <v>4630857.75</v>
      </c>
      <c r="K24" s="564">
        <f t="shared" si="1"/>
        <v>4524086.0249999994</v>
      </c>
      <c r="L24" s="564">
        <f t="shared" si="1"/>
        <v>4336431.9750000015</v>
      </c>
      <c r="M24" s="564">
        <f t="shared" si="1"/>
        <v>4456621.3499999996</v>
      </c>
      <c r="N24" s="564">
        <f t="shared" si="1"/>
        <v>4261408.2</v>
      </c>
      <c r="O24" s="564">
        <f t="shared" si="1"/>
        <v>54297935.100000001</v>
      </c>
    </row>
    <row r="25" spans="1:17" x14ac:dyDescent="0.2">
      <c r="A25" s="565"/>
      <c r="B25" s="565"/>
      <c r="C25" s="565"/>
      <c r="D25" s="565"/>
      <c r="E25" s="565"/>
      <c r="F25" s="565"/>
      <c r="G25" s="565"/>
      <c r="H25" s="565"/>
      <c r="I25" s="565"/>
      <c r="J25" s="565"/>
      <c r="K25" s="565"/>
      <c r="L25" s="565"/>
      <c r="M25" s="565"/>
      <c r="N25" s="565"/>
      <c r="O25" s="572"/>
    </row>
    <row r="26" spans="1:17" x14ac:dyDescent="0.2">
      <c r="A26" s="566" t="s">
        <v>281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rgb="FF7030A0"/>
  </sheetPr>
  <dimension ref="A1:P26"/>
  <sheetViews>
    <sheetView workbookViewId="0">
      <selection activeCell="D8" sqref="D8"/>
    </sheetView>
  </sheetViews>
  <sheetFormatPr baseColWidth="10" defaultRowHeight="12.75" x14ac:dyDescent="0.2"/>
  <cols>
    <col min="1" max="1" width="15.42578125" style="552" customWidth="1"/>
    <col min="2" max="4" width="7.85546875" style="552" customWidth="1"/>
    <col min="5" max="5" width="8.7109375" style="552" bestFit="1" customWidth="1"/>
    <col min="6" max="9" width="7.85546875" style="552" customWidth="1"/>
    <col min="10" max="10" width="9.42578125" style="552" customWidth="1"/>
    <col min="11" max="11" width="7.85546875" style="552" customWidth="1"/>
    <col min="12" max="12" width="9.140625" style="552" customWidth="1"/>
    <col min="13" max="13" width="8.5703125" style="552" customWidth="1"/>
    <col min="14" max="14" width="8.7109375" style="552" bestFit="1" customWidth="1"/>
    <col min="15" max="16384" width="11.42578125" style="552"/>
  </cols>
  <sheetData>
    <row r="1" spans="1:16" x14ac:dyDescent="0.2">
      <c r="A1" s="1215" t="s">
        <v>344</v>
      </c>
      <c r="B1" s="1215"/>
      <c r="C1" s="1215"/>
      <c r="D1" s="1215"/>
      <c r="E1" s="1215"/>
      <c r="F1" s="1215"/>
      <c r="G1" s="1215"/>
      <c r="H1" s="1215"/>
      <c r="I1" s="1215"/>
      <c r="J1" s="1215"/>
      <c r="K1" s="1215"/>
      <c r="L1" s="1215"/>
      <c r="M1" s="1215"/>
      <c r="N1" s="1215"/>
    </row>
    <row r="2" spans="1:16" ht="13.5" thickBot="1" x14ac:dyDescent="0.25"/>
    <row r="3" spans="1:16" ht="23.25" thickBot="1" x14ac:dyDescent="0.25">
      <c r="A3" s="553" t="s">
        <v>305</v>
      </c>
      <c r="B3" s="553" t="s">
        <v>1</v>
      </c>
      <c r="C3" s="555" t="s">
        <v>2</v>
      </c>
      <c r="D3" s="553" t="s">
        <v>3</v>
      </c>
      <c r="E3" s="555" t="s">
        <v>4</v>
      </c>
      <c r="F3" s="553" t="s">
        <v>5</v>
      </c>
      <c r="G3" s="553" t="s">
        <v>6</v>
      </c>
      <c r="H3" s="553" t="s">
        <v>7</v>
      </c>
      <c r="I3" s="555" t="s">
        <v>8</v>
      </c>
      <c r="J3" s="553" t="s">
        <v>9</v>
      </c>
      <c r="K3" s="555" t="s">
        <v>10</v>
      </c>
      <c r="L3" s="553" t="s">
        <v>11</v>
      </c>
      <c r="M3" s="553" t="s">
        <v>12</v>
      </c>
      <c r="N3" s="556" t="s">
        <v>165</v>
      </c>
    </row>
    <row r="4" spans="1:16" ht="12.75" customHeight="1" x14ac:dyDescent="0.2">
      <c r="A4" s="557" t="s">
        <v>274</v>
      </c>
      <c r="B4" s="559">
        <f>'[4]FOFIR  INCREMENTO'!C7+'[4]FFOR ESTIMACIONES'!C7</f>
        <v>166059.80182410308</v>
      </c>
      <c r="C4" s="559">
        <f>'[4]FOFIR  INCREMENTO'!D7+'[4]FFOR ESTIMACIONES'!D7</f>
        <v>121496.18625403017</v>
      </c>
      <c r="D4" s="559">
        <f>'[4]FOFIR  INCREMENTO'!E7+'[4]FFOR ESTIMACIONES'!E7</f>
        <v>121496.18625403017</v>
      </c>
      <c r="E4" s="559">
        <f>'[4]FOFIR  INCREMENTO'!F7+'[4]FFOR ESTIMACIONES'!F7</f>
        <v>199748.46075717272</v>
      </c>
      <c r="F4" s="559">
        <f>'[4]FOFIR  INCREMENTO'!G7+'[4]FFOR ESTIMACIONES'!G7</f>
        <v>121496.18625403017</v>
      </c>
      <c r="G4" s="559">
        <f>'[4]FOFIR  INCREMENTO'!H7+'[4]FFOR ESTIMACIONES'!H7</f>
        <v>121496.18625403017</v>
      </c>
      <c r="H4" s="559">
        <f>'[4]FOFIR  INCREMENTO'!I7+'[4]FFOR ESTIMACIONES'!I7</f>
        <v>167908.37469649853</v>
      </c>
      <c r="I4" s="559">
        <f>'[4]FOFIR  INCREMENTO'!J7+'[4]FFOR ESTIMACIONES'!J7</f>
        <v>121496.18625403018</v>
      </c>
      <c r="J4" s="559">
        <f>'[4]FOFIR  INCREMENTO'!K7+'[4]FFOR ESTIMACIONES'!K7</f>
        <v>121496.18625403018</v>
      </c>
      <c r="K4" s="559">
        <f>'[4]FOFIR  INCREMENTO'!L7+'[4]FFOR ESTIMACIONES'!L7</f>
        <v>173140.32783569855</v>
      </c>
      <c r="L4" s="559">
        <f>'[4]FOFIR  INCREMENTO'!M7+'[4]FFOR ESTIMACIONES'!M7</f>
        <v>121496.18625403021</v>
      </c>
      <c r="M4" s="559">
        <f>'[4]FOFIR  INCREMENTO'!N7+'[4]FFOR ESTIMACIONES'!N7</f>
        <v>121496.18625403021</v>
      </c>
      <c r="N4" s="560">
        <f t="shared" ref="N4:N24" si="0">SUM(B4:M4)</f>
        <v>1678826.4551457143</v>
      </c>
      <c r="P4" s="561"/>
    </row>
    <row r="5" spans="1:16" ht="12.75" customHeight="1" x14ac:dyDescent="0.2">
      <c r="A5" s="557" t="s">
        <v>144</v>
      </c>
      <c r="B5" s="559">
        <f>'[4]FOFIR  INCREMENTO'!C8+'[4]FFOR ESTIMACIONES'!C8</f>
        <v>65896.245453383191</v>
      </c>
      <c r="C5" s="559">
        <f>'[4]FOFIR  INCREMENTO'!D8+'[4]FFOR ESTIMACIONES'!D8</f>
        <v>49383.291033517453</v>
      </c>
      <c r="D5" s="559">
        <f>'[4]FOFIR  INCREMENTO'!E8+'[4]FFOR ESTIMACIONES'!E8</f>
        <v>49383.291033517453</v>
      </c>
      <c r="E5" s="559">
        <f>'[4]FOFIR  INCREMENTO'!F8+'[4]FFOR ESTIMACIONES'!F8</f>
        <v>78622.072446546939</v>
      </c>
      <c r="F5" s="559">
        <f>'[4]FOFIR  INCREMENTO'!G8+'[4]FFOR ESTIMACIONES'!G8</f>
        <v>49383.291033517453</v>
      </c>
      <c r="G5" s="559">
        <f>'[4]FOFIR  INCREMENTO'!H8+'[4]FFOR ESTIMACIONES'!H8</f>
        <v>49383.291033517453</v>
      </c>
      <c r="H5" s="559">
        <f>'[4]FOFIR  INCREMENTO'!I8+'[4]FFOR ESTIMACIONES'!I8</f>
        <v>66095.724649424024</v>
      </c>
      <c r="I5" s="559">
        <f>'[4]FOFIR  INCREMENTO'!J8+'[4]FFOR ESTIMACIONES'!J8</f>
        <v>49383.29103351746</v>
      </c>
      <c r="J5" s="559">
        <f>'[4]FOFIR  INCREMENTO'!K8+'[4]FFOR ESTIMACIONES'!K8</f>
        <v>49383.29103351746</v>
      </c>
      <c r="K5" s="559">
        <f>'[4]FOFIR  INCREMENTO'!L8+'[4]FFOR ESTIMACIONES'!L8</f>
        <v>68436.559581981463</v>
      </c>
      <c r="L5" s="559">
        <f>'[4]FOFIR  INCREMENTO'!M8+'[4]FFOR ESTIMACIONES'!M8</f>
        <v>49383.291033517475</v>
      </c>
      <c r="M5" s="559">
        <f>'[4]FOFIR  INCREMENTO'!N8+'[4]FFOR ESTIMACIONES'!N8</f>
        <v>49383.291033517475</v>
      </c>
      <c r="N5" s="560">
        <f t="shared" si="0"/>
        <v>674116.93039947527</v>
      </c>
      <c r="P5" s="561"/>
    </row>
    <row r="6" spans="1:16" ht="12.75" customHeight="1" x14ac:dyDescent="0.2">
      <c r="A6" s="557" t="s">
        <v>145</v>
      </c>
      <c r="B6" s="559">
        <f>'[4]FOFIR  INCREMENTO'!C9+'[4]FFOR ESTIMACIONES'!C9</f>
        <v>47172.166888439977</v>
      </c>
      <c r="C6" s="559">
        <f>'[4]FOFIR  INCREMENTO'!D9+'[4]FFOR ESTIMACIONES'!D9</f>
        <v>36009.252493238819</v>
      </c>
      <c r="D6" s="559">
        <f>'[4]FOFIR  INCREMENTO'!E9+'[4]FFOR ESTIMACIONES'!E9</f>
        <v>36009.252493238819</v>
      </c>
      <c r="E6" s="559">
        <f>'[4]FOFIR  INCREMENTO'!F9+'[4]FFOR ESTIMACIONES'!F9</f>
        <v>55920.919567698598</v>
      </c>
      <c r="F6" s="559">
        <f>'[4]FOFIR  INCREMENTO'!G9+'[4]FFOR ESTIMACIONES'!G9</f>
        <v>36009.252493238819</v>
      </c>
      <c r="G6" s="559">
        <f>'[4]FOFIR  INCREMENTO'!H9+'[4]FFOR ESTIMACIONES'!H9</f>
        <v>36009.252493238819</v>
      </c>
      <c r="H6" s="559">
        <f>'[4]FOFIR  INCREMENTO'!I9+'[4]FFOR ESTIMACIONES'!I9</f>
        <v>47014.845704379681</v>
      </c>
      <c r="I6" s="559">
        <f>'[4]FOFIR  INCREMENTO'!J9+'[4]FFOR ESTIMACIONES'!J9</f>
        <v>36009.252493238826</v>
      </c>
      <c r="J6" s="559">
        <f>'[4]FOFIR  INCREMENTO'!K9+'[4]FFOR ESTIMACIONES'!K9</f>
        <v>36009.252493238826</v>
      </c>
      <c r="K6" s="559">
        <f>'[4]FOFIR  INCREMENTO'!L9+'[4]FFOR ESTIMACIONES'!L9</f>
        <v>48839.278476363965</v>
      </c>
      <c r="L6" s="559">
        <f>'[4]FOFIR  INCREMENTO'!M9+'[4]FFOR ESTIMACIONES'!M9</f>
        <v>36009.252493238833</v>
      </c>
      <c r="M6" s="559">
        <f>'[4]FOFIR  INCREMENTO'!N9+'[4]FFOR ESTIMACIONES'!N9</f>
        <v>36009.252493238833</v>
      </c>
      <c r="N6" s="560">
        <f t="shared" si="0"/>
        <v>487021.23058279284</v>
      </c>
      <c r="P6" s="561"/>
    </row>
    <row r="7" spans="1:16" ht="12.75" customHeight="1" x14ac:dyDescent="0.2">
      <c r="A7" s="557" t="s">
        <v>275</v>
      </c>
      <c r="B7" s="559">
        <f>'[4]FOFIR  INCREMENTO'!C10+'[4]FFOR ESTIMACIONES'!C10</f>
        <v>1617728.7073038896</v>
      </c>
      <c r="C7" s="559">
        <f>'[4]FOFIR  INCREMENTO'!D10+'[4]FFOR ESTIMACIONES'!D10</f>
        <v>430998.70281890297</v>
      </c>
      <c r="D7" s="559">
        <f>'[4]FOFIR  INCREMENTO'!E10+'[4]FFOR ESTIMACIONES'!E10</f>
        <v>430998.70281890297</v>
      </c>
      <c r="E7" s="559">
        <f>'[4]FOFIR  INCREMENTO'!F10+'[4]FFOR ESTIMACIONES'!F10</f>
        <v>2358947.3555349289</v>
      </c>
      <c r="F7" s="559">
        <f>'[4]FOFIR  INCREMENTO'!G10+'[4]FFOR ESTIMACIONES'!G10</f>
        <v>430998.70281890297</v>
      </c>
      <c r="G7" s="559">
        <f>'[4]FOFIR  INCREMENTO'!H10+'[4]FFOR ESTIMACIONES'!H10</f>
        <v>430998.70281890297</v>
      </c>
      <c r="H7" s="559">
        <f>'[4]FOFIR  INCREMENTO'!I10+'[4]FFOR ESTIMACIONES'!I10</f>
        <v>1979019.7665862315</v>
      </c>
      <c r="I7" s="559">
        <f>'[4]FOFIR  INCREMENTO'!J10+'[4]FFOR ESTIMACIONES'!J10</f>
        <v>430998.70281890291</v>
      </c>
      <c r="J7" s="559">
        <f>'[4]FOFIR  INCREMENTO'!K10+'[4]FFOR ESTIMACIONES'!K10</f>
        <v>430998.70281890291</v>
      </c>
      <c r="K7" s="559">
        <f>'[4]FOFIR  INCREMENTO'!L10+'[4]FFOR ESTIMACIONES'!L10</f>
        <v>1859863.6965230324</v>
      </c>
      <c r="L7" s="559">
        <f>'[4]FOFIR  INCREMENTO'!M10+'[4]FFOR ESTIMACIONES'!M10</f>
        <v>430998.70281890279</v>
      </c>
      <c r="M7" s="559">
        <f>'[4]FOFIR  INCREMENTO'!N10+'[4]FFOR ESTIMACIONES'!N10</f>
        <v>430998.70281890279</v>
      </c>
      <c r="N7" s="560">
        <f t="shared" si="0"/>
        <v>11263549.148499306</v>
      </c>
      <c r="P7" s="561"/>
    </row>
    <row r="8" spans="1:16" ht="12.75" customHeight="1" x14ac:dyDescent="0.2">
      <c r="A8" s="557" t="s">
        <v>147</v>
      </c>
      <c r="B8" s="559">
        <f>'[4]FOFIR  INCREMENTO'!C11+'[4]FFOR ESTIMACIONES'!C11</f>
        <v>335898.08821091719</v>
      </c>
      <c r="C8" s="559">
        <f>'[4]FOFIR  INCREMENTO'!D11+'[4]FFOR ESTIMACIONES'!D11</f>
        <v>224560.41676661855</v>
      </c>
      <c r="D8" s="559">
        <f>'[4]FOFIR  INCREMENTO'!E11+'[4]FFOR ESTIMACIONES'!E11</f>
        <v>224560.41676661855</v>
      </c>
      <c r="E8" s="559">
        <f>'[4]FOFIR  INCREMENTO'!F11+'[4]FFOR ESTIMACIONES'!F11</f>
        <v>415674.64870536816</v>
      </c>
      <c r="F8" s="559">
        <f>'[4]FOFIR  INCREMENTO'!G11+'[4]FFOR ESTIMACIONES'!G11</f>
        <v>224560.41676661855</v>
      </c>
      <c r="G8" s="559">
        <f>'[4]FOFIR  INCREMENTO'!H11+'[4]FFOR ESTIMACIONES'!H11</f>
        <v>224560.41676661855</v>
      </c>
      <c r="H8" s="559">
        <f>'[4]FOFIR  INCREMENTO'!I11+'[4]FFOR ESTIMACIONES'!I11</f>
        <v>349305.63097027713</v>
      </c>
      <c r="I8" s="559">
        <f>'[4]FOFIR  INCREMENTO'!J11+'[4]FFOR ESTIMACIONES'!J11</f>
        <v>224560.41676661861</v>
      </c>
      <c r="J8" s="559">
        <f>'[4]FOFIR  INCREMENTO'!K11+'[4]FFOR ESTIMACIONES'!K11</f>
        <v>224560.41676661861</v>
      </c>
      <c r="K8" s="559">
        <f>'[4]FOFIR  INCREMENTO'!L11+'[4]FFOR ESTIMACIONES'!L11</f>
        <v>355097.12288766826</v>
      </c>
      <c r="L8" s="559">
        <f>'[4]FOFIR  INCREMENTO'!M11+'[4]FFOR ESTIMACIONES'!M11</f>
        <v>224560.41676661867</v>
      </c>
      <c r="M8" s="559">
        <f>'[4]FOFIR  INCREMENTO'!N11+'[4]FFOR ESTIMACIONES'!N11</f>
        <v>224560.41676661867</v>
      </c>
      <c r="N8" s="560">
        <f t="shared" si="0"/>
        <v>3252458.8249071799</v>
      </c>
      <c r="P8" s="561"/>
    </row>
    <row r="9" spans="1:16" ht="12.75" customHeight="1" x14ac:dyDescent="0.2">
      <c r="A9" s="557" t="s">
        <v>276</v>
      </c>
      <c r="B9" s="559">
        <f>'[4]FOFIR  INCREMENTO'!C12+'[4]FFOR ESTIMACIONES'!C12</f>
        <v>136223.33080593604</v>
      </c>
      <c r="C9" s="559">
        <f>'[4]FOFIR  INCREMENTO'!D12+'[4]FFOR ESTIMACIONES'!D12</f>
        <v>106022.47054212105</v>
      </c>
      <c r="D9" s="559">
        <f>'[4]FOFIR  INCREMENTO'!E12+'[4]FFOR ESTIMACIONES'!E12</f>
        <v>106022.47054212105</v>
      </c>
      <c r="E9" s="559">
        <f>'[4]FOFIR  INCREMENTO'!F12+'[4]FFOR ESTIMACIONES'!F12</f>
        <v>160370.91559869357</v>
      </c>
      <c r="F9" s="559">
        <f>'[4]FOFIR  INCREMENTO'!G12+'[4]FFOR ESTIMACIONES'!G12</f>
        <v>106022.47054212105</v>
      </c>
      <c r="G9" s="559">
        <f>'[4]FOFIR  INCREMENTO'!H12+'[4]FFOR ESTIMACIONES'!H12</f>
        <v>106022.47054212105</v>
      </c>
      <c r="H9" s="559">
        <f>'[4]FOFIR  INCREMENTO'!I12+'[4]FFOR ESTIMACIONES'!I12</f>
        <v>134840.6604641614</v>
      </c>
      <c r="I9" s="559">
        <f>'[4]FOFIR  INCREMENTO'!J12+'[4]FFOR ESTIMACIONES'!J12</f>
        <v>106022.47054212107</v>
      </c>
      <c r="J9" s="559">
        <f>'[4]FOFIR  INCREMENTO'!K12+'[4]FFOR ESTIMACIONES'!K12</f>
        <v>106022.47054212107</v>
      </c>
      <c r="K9" s="559">
        <f>'[4]FOFIR  INCREMENTO'!L12+'[4]FFOR ESTIMACIONES'!L12</f>
        <v>140569.31906997022</v>
      </c>
      <c r="L9" s="559">
        <f>'[4]FOFIR  INCREMENTO'!M12+'[4]FFOR ESTIMACIONES'!M12</f>
        <v>106022.4705421211</v>
      </c>
      <c r="M9" s="559">
        <f>'[4]FOFIR  INCREMENTO'!N12+'[4]FFOR ESTIMACIONES'!N12</f>
        <v>106022.4705421211</v>
      </c>
      <c r="N9" s="560">
        <f t="shared" si="0"/>
        <v>1420183.9902757299</v>
      </c>
      <c r="P9" s="561"/>
    </row>
    <row r="10" spans="1:16" ht="12.75" customHeight="1" x14ac:dyDescent="0.2">
      <c r="A10" s="557" t="s">
        <v>149</v>
      </c>
      <c r="B10" s="559">
        <f>'[4]FOFIR  INCREMENTO'!C13+'[4]FFOR ESTIMACIONES'!C13</f>
        <v>46943.919635121681</v>
      </c>
      <c r="C10" s="559">
        <f>'[4]FOFIR  INCREMENTO'!D13+'[4]FFOR ESTIMACIONES'!D13</f>
        <v>36546.418155936706</v>
      </c>
      <c r="D10" s="559">
        <f>'[4]FOFIR  INCREMENTO'!E13+'[4]FFOR ESTIMACIONES'!E13</f>
        <v>36546.418155936706</v>
      </c>
      <c r="E10" s="559">
        <f>'[4]FOFIR  INCREMENTO'!F13+'[4]FFOR ESTIMACIONES'!F13</f>
        <v>55259.921339763569</v>
      </c>
      <c r="F10" s="559">
        <f>'[4]FOFIR  INCREMENTO'!G13+'[4]FFOR ESTIMACIONES'!G13</f>
        <v>36546.418155936706</v>
      </c>
      <c r="G10" s="559">
        <f>'[4]FOFIR  INCREMENTO'!H13+'[4]FFOR ESTIMACIONES'!H13</f>
        <v>36546.418155936706</v>
      </c>
      <c r="H10" s="559">
        <f>'[4]FOFIR  INCREMENTO'!I13+'[4]FFOR ESTIMACIONES'!I13</f>
        <v>46462.868832540647</v>
      </c>
      <c r="I10" s="559">
        <f>'[4]FOFIR  INCREMENTO'!J13+'[4]FFOR ESTIMACIONES'!J13</f>
        <v>36546.418155936706</v>
      </c>
      <c r="J10" s="559">
        <f>'[4]FOFIR  INCREMENTO'!K13+'[4]FFOR ESTIMACIONES'!K13</f>
        <v>36546.418155936706</v>
      </c>
      <c r="K10" s="559">
        <f>'[4]FOFIR  INCREMENTO'!L13+'[4]FFOR ESTIMACIONES'!L13</f>
        <v>48439.285993104728</v>
      </c>
      <c r="L10" s="559">
        <f>'[4]FOFIR  INCREMENTO'!M13+'[4]FFOR ESTIMACIONES'!M13</f>
        <v>36546.418155936721</v>
      </c>
      <c r="M10" s="559">
        <f>'[4]FOFIR  INCREMENTO'!N13+'[4]FFOR ESTIMACIONES'!N13</f>
        <v>36546.418155936721</v>
      </c>
      <c r="N10" s="560">
        <f t="shared" si="0"/>
        <v>489477.34104802425</v>
      </c>
      <c r="P10" s="561"/>
    </row>
    <row r="11" spans="1:16" ht="12.75" customHeight="1" x14ac:dyDescent="0.2">
      <c r="A11" s="557" t="s">
        <v>150</v>
      </c>
      <c r="B11" s="559">
        <f>'[4]FOFIR  INCREMENTO'!C14+'[4]FFOR ESTIMACIONES'!C14</f>
        <v>124230.24244290034</v>
      </c>
      <c r="C11" s="559">
        <f>'[4]FOFIR  INCREMENTO'!D14+'[4]FFOR ESTIMACIONES'!D14</f>
        <v>90312.547392919572</v>
      </c>
      <c r="D11" s="559">
        <f>'[4]FOFIR  INCREMENTO'!E14+'[4]FFOR ESTIMACIONES'!E14</f>
        <v>90312.547392919572</v>
      </c>
      <c r="E11" s="559">
        <f>'[4]FOFIR  INCREMENTO'!F14+'[4]FFOR ESTIMACIONES'!F14</f>
        <v>149750.89511270751</v>
      </c>
      <c r="F11" s="559">
        <f>'[4]FOFIR  INCREMENTO'!G14+'[4]FFOR ESTIMACIONES'!G14</f>
        <v>90312.547392919572</v>
      </c>
      <c r="G11" s="559">
        <f>'[4]FOFIR  INCREMENTO'!H14+'[4]FFOR ESTIMACIONES'!H14</f>
        <v>90312.547392919572</v>
      </c>
      <c r="H11" s="559">
        <f>'[4]FOFIR  INCREMENTO'!I14+'[4]FFOR ESTIMACIONES'!I14</f>
        <v>125877.45677451006</v>
      </c>
      <c r="I11" s="559">
        <f>'[4]FOFIR  INCREMENTO'!J14+'[4]FFOR ESTIMACIONES'!J14</f>
        <v>90312.547392919587</v>
      </c>
      <c r="J11" s="559">
        <f>'[4]FOFIR  INCREMENTO'!K14+'[4]FFOR ESTIMACIONES'!K14</f>
        <v>90312.547392919587</v>
      </c>
      <c r="K11" s="559">
        <f>'[4]FOFIR  INCREMENTO'!L14+'[4]FFOR ESTIMACIONES'!L14</f>
        <v>129660.53337129968</v>
      </c>
      <c r="L11" s="559">
        <f>'[4]FOFIR  INCREMENTO'!M14+'[4]FFOR ESTIMACIONES'!M14</f>
        <v>90312.547392919616</v>
      </c>
      <c r="M11" s="559">
        <f>'[4]FOFIR  INCREMENTO'!N14+'[4]FFOR ESTIMACIONES'!N14</f>
        <v>90312.547392919616</v>
      </c>
      <c r="N11" s="560">
        <f t="shared" si="0"/>
        <v>1252019.5068447744</v>
      </c>
      <c r="P11" s="561"/>
    </row>
    <row r="12" spans="1:16" ht="12.75" customHeight="1" x14ac:dyDescent="0.2">
      <c r="A12" s="557" t="s">
        <v>151</v>
      </c>
      <c r="B12" s="559">
        <f>'[4]FOFIR  INCREMENTO'!C15+'[4]FFOR ESTIMACIONES'!C15</f>
        <v>73217.41689484354</v>
      </c>
      <c r="C12" s="559">
        <f>'[4]FOFIR  INCREMENTO'!D15+'[4]FFOR ESTIMACIONES'!D15</f>
        <v>55839.774119728063</v>
      </c>
      <c r="D12" s="559">
        <f>'[4]FOFIR  INCREMENTO'!E15+'[4]FFOR ESTIMACIONES'!E15</f>
        <v>55839.774119728063</v>
      </c>
      <c r="E12" s="559">
        <f>'[4]FOFIR  INCREMENTO'!F15+'[4]FFOR ESTIMACIONES'!F15</f>
        <v>86824.803164653436</v>
      </c>
      <c r="F12" s="559">
        <f>'[4]FOFIR  INCREMENTO'!G15+'[4]FFOR ESTIMACIONES'!G15</f>
        <v>55839.774119728063</v>
      </c>
      <c r="G12" s="559">
        <f>'[4]FOFIR  INCREMENTO'!H15+'[4]FFOR ESTIMACIONES'!H15</f>
        <v>55839.774119728063</v>
      </c>
      <c r="H12" s="559">
        <f>'[4]FOFIR  INCREMENTO'!I15+'[4]FFOR ESTIMACIONES'!I15</f>
        <v>72996.646462266639</v>
      </c>
      <c r="I12" s="559">
        <f>'[4]FOFIR  INCREMENTO'!J15+'[4]FFOR ESTIMACIONES'!J15</f>
        <v>55839.77411972807</v>
      </c>
      <c r="J12" s="559">
        <f>'[4]FOFIR  INCREMENTO'!K15+'[4]FFOR ESTIMACIONES'!K15</f>
        <v>55839.77411972807</v>
      </c>
      <c r="K12" s="559">
        <f>'[4]FOFIR  INCREMENTO'!L15+'[4]FFOR ESTIMACIONES'!L15</f>
        <v>75816.803486396821</v>
      </c>
      <c r="L12" s="559">
        <f>'[4]FOFIR  INCREMENTO'!M15+'[4]FFOR ESTIMACIONES'!M15</f>
        <v>55839.774119728085</v>
      </c>
      <c r="M12" s="559">
        <f>'[4]FOFIR  INCREMENTO'!N15+'[4]FFOR ESTIMACIONES'!N15</f>
        <v>55839.774119728085</v>
      </c>
      <c r="N12" s="560">
        <f t="shared" si="0"/>
        <v>755573.86296598508</v>
      </c>
      <c r="P12" s="561"/>
    </row>
    <row r="13" spans="1:16" ht="12.75" customHeight="1" x14ac:dyDescent="0.2">
      <c r="A13" s="557" t="s">
        <v>152</v>
      </c>
      <c r="B13" s="559">
        <f>'[4]FOFIR  INCREMENTO'!C16+'[4]FFOR ESTIMACIONES'!C16</f>
        <v>54629.467025347098</v>
      </c>
      <c r="C13" s="559">
        <f>'[4]FOFIR  INCREMENTO'!D16+'[4]FFOR ESTIMACIONES'!D16</f>
        <v>41918.164215620891</v>
      </c>
      <c r="D13" s="559">
        <f>'[4]FOFIR  INCREMENTO'!E16+'[4]FFOR ESTIMACIONES'!E16</f>
        <v>41918.164215620891</v>
      </c>
      <c r="E13" s="559">
        <f>'[4]FOFIR  INCREMENTO'!F16+'[4]FFOR ESTIMACIONES'!F16</f>
        <v>64642.564346199848</v>
      </c>
      <c r="F13" s="559">
        <f>'[4]FOFIR  INCREMENTO'!G16+'[4]FFOR ESTIMACIONES'!G16</f>
        <v>41918.164215620891</v>
      </c>
      <c r="G13" s="559">
        <f>'[4]FOFIR  INCREMENTO'!H16+'[4]FFOR ESTIMACIONES'!H16</f>
        <v>41918.164215620891</v>
      </c>
      <c r="H13" s="559">
        <f>'[4]FOFIR  INCREMENTO'!I16+'[4]FFOR ESTIMACIONES'!I16</f>
        <v>54348.604601859013</v>
      </c>
      <c r="I13" s="559">
        <f>'[4]FOFIR  INCREMENTO'!J16+'[4]FFOR ESTIMACIONES'!J16</f>
        <v>41918.164215620898</v>
      </c>
      <c r="J13" s="559">
        <f>'[4]FOFIR  INCREMENTO'!K16+'[4]FFOR ESTIMACIONES'!K16</f>
        <v>41918.164215620898</v>
      </c>
      <c r="K13" s="559">
        <f>'[4]FOFIR  INCREMENTO'!L16+'[4]FFOR ESTIMACIONES'!L16</f>
        <v>56510.355805752377</v>
      </c>
      <c r="L13" s="559">
        <f>'[4]FOFIR  INCREMENTO'!M16+'[4]FFOR ESTIMACIONES'!M16</f>
        <v>41918.164215620913</v>
      </c>
      <c r="M13" s="559">
        <f>'[4]FOFIR  INCREMENTO'!N16+'[4]FFOR ESTIMACIONES'!N16</f>
        <v>41918.164215620913</v>
      </c>
      <c r="N13" s="560">
        <f t="shared" si="0"/>
        <v>565476.30550412554</v>
      </c>
      <c r="P13" s="561"/>
    </row>
    <row r="14" spans="1:16" ht="12.75" customHeight="1" x14ac:dyDescent="0.2">
      <c r="A14" s="557" t="s">
        <v>153</v>
      </c>
      <c r="B14" s="559">
        <f>'[4]FOFIR  INCREMENTO'!C17+'[4]FFOR ESTIMACIONES'!C17</f>
        <v>145506.38386108386</v>
      </c>
      <c r="C14" s="559">
        <f>'[4]FOFIR  INCREMENTO'!D17+'[4]FFOR ESTIMACIONES'!D17</f>
        <v>111856.14487044928</v>
      </c>
      <c r="D14" s="559">
        <f>'[4]FOFIR  INCREMENTO'!E17+'[4]FFOR ESTIMACIONES'!E17</f>
        <v>111856.14487044928</v>
      </c>
      <c r="E14" s="559">
        <f>'[4]FOFIR  INCREMENTO'!F17+'[4]FFOR ESTIMACIONES'!F17</f>
        <v>172063.08587293784</v>
      </c>
      <c r="F14" s="559">
        <f>'[4]FOFIR  INCREMENTO'!G17+'[4]FFOR ESTIMACIONES'!G17</f>
        <v>111856.14487044928</v>
      </c>
      <c r="G14" s="559">
        <f>'[4]FOFIR  INCREMENTO'!H17+'[4]FFOR ESTIMACIONES'!H17</f>
        <v>111856.14487044928</v>
      </c>
      <c r="H14" s="559">
        <f>'[4]FOFIR  INCREMENTO'!I17+'[4]FFOR ESTIMACIONES'!I17</f>
        <v>144664.11103260936</v>
      </c>
      <c r="I14" s="559">
        <f>'[4]FOFIR  INCREMENTO'!J17+'[4]FFOR ESTIMACIONES'!J17</f>
        <v>111856.14487044929</v>
      </c>
      <c r="J14" s="559">
        <f>'[4]FOFIR  INCREMENTO'!K17+'[4]FFOR ESTIMACIONES'!K17</f>
        <v>111856.14487044929</v>
      </c>
      <c r="K14" s="559">
        <f>'[4]FOFIR  INCREMENTO'!L17+'[4]FFOR ESTIMACIONES'!L17</f>
        <v>150468.64672921068</v>
      </c>
      <c r="L14" s="559">
        <f>'[4]FOFIR  INCREMENTO'!M17+'[4]FFOR ESTIMACIONES'!M17</f>
        <v>111856.14487044932</v>
      </c>
      <c r="M14" s="559">
        <f>'[4]FOFIR  INCREMENTO'!N17+'[4]FFOR ESTIMACIONES'!N17</f>
        <v>111856.14487044932</v>
      </c>
      <c r="N14" s="560">
        <f t="shared" si="0"/>
        <v>1507551.386459436</v>
      </c>
      <c r="P14" s="561"/>
    </row>
    <row r="15" spans="1:16" ht="12.75" customHeight="1" x14ac:dyDescent="0.2">
      <c r="A15" s="557" t="s">
        <v>154</v>
      </c>
      <c r="B15" s="559">
        <f>'[4]FOFIR  INCREMENTO'!C18+'[4]FFOR ESTIMACIONES'!C18</f>
        <v>95281.562275807373</v>
      </c>
      <c r="C15" s="559">
        <f>'[4]FOFIR  INCREMENTO'!D18+'[4]FFOR ESTIMACIONES'!D18</f>
        <v>72968.796871253828</v>
      </c>
      <c r="D15" s="559">
        <f>'[4]FOFIR  INCREMENTO'!E18+'[4]FFOR ESTIMACIONES'!E18</f>
        <v>72968.796871253828</v>
      </c>
      <c r="E15" s="559">
        <f>'[4]FOFIR  INCREMENTO'!F18+'[4]FFOR ESTIMACIONES'!F18</f>
        <v>112824.00287479749</v>
      </c>
      <c r="F15" s="559">
        <f>'[4]FOFIR  INCREMENTO'!G18+'[4]FFOR ESTIMACIONES'!G18</f>
        <v>72968.796871253828</v>
      </c>
      <c r="G15" s="559">
        <f>'[4]FOFIR  INCREMENTO'!H18+'[4]FFOR ESTIMACIONES'!H18</f>
        <v>72968.796871253828</v>
      </c>
      <c r="H15" s="559">
        <f>'[4]FOFIR  INCREMENTO'!I18+'[4]FFOR ESTIMACIONES'!I18</f>
        <v>94856.671654094942</v>
      </c>
      <c r="I15" s="559">
        <f>'[4]FOFIR  INCREMENTO'!J18+'[4]FFOR ESTIMACIONES'!J18</f>
        <v>72968.796871253842</v>
      </c>
      <c r="J15" s="559">
        <f>'[4]FOFIR  INCREMENTO'!K18+'[4]FFOR ESTIMACIONES'!K18</f>
        <v>72968.796871253842</v>
      </c>
      <c r="K15" s="559">
        <f>'[4]FOFIR  INCREMENTO'!L18+'[4]FFOR ESTIMACIONES'!L18</f>
        <v>98594.8735892369</v>
      </c>
      <c r="L15" s="559">
        <f>'[4]FOFIR  INCREMENTO'!M18+'[4]FFOR ESTIMACIONES'!M18</f>
        <v>72968.796871253857</v>
      </c>
      <c r="M15" s="559">
        <f>'[4]FOFIR  INCREMENTO'!N18+'[4]FFOR ESTIMACIONES'!N18</f>
        <v>72968.796871253857</v>
      </c>
      <c r="N15" s="560">
        <f t="shared" si="0"/>
        <v>985307.48536396737</v>
      </c>
      <c r="P15" s="561"/>
    </row>
    <row r="16" spans="1:16" ht="12.75" customHeight="1" x14ac:dyDescent="0.2">
      <c r="A16" s="557" t="s">
        <v>155</v>
      </c>
      <c r="B16" s="559">
        <f>'[4]FOFIR  INCREMENTO'!C19+'[4]FFOR ESTIMACIONES'!C19</f>
        <v>175211.10725289915</v>
      </c>
      <c r="C16" s="559">
        <f>'[4]FOFIR  INCREMENTO'!D19+'[4]FFOR ESTIMACIONES'!D19</f>
        <v>130974.14327742736</v>
      </c>
      <c r="D16" s="559">
        <f>'[4]FOFIR  INCREMENTO'!E19+'[4]FFOR ESTIMACIONES'!E19</f>
        <v>130974.14327742736</v>
      </c>
      <c r="E16" s="559">
        <f>'[4]FOFIR  INCREMENTO'!F19+'[4]FFOR ESTIMACIONES'!F19</f>
        <v>209229.25806835794</v>
      </c>
      <c r="F16" s="559">
        <f>'[4]FOFIR  INCREMENTO'!G19+'[4]FFOR ESTIMACIONES'!G19</f>
        <v>130974.14327742736</v>
      </c>
      <c r="G16" s="559">
        <f>'[4]FOFIR  INCREMENTO'!H19+'[4]FFOR ESTIMACIONES'!H19</f>
        <v>130974.14327742736</v>
      </c>
      <c r="H16" s="559">
        <f>'[4]FOFIR  INCREMENTO'!I19+'[4]FFOR ESTIMACIONES'!I19</f>
        <v>175892.37743240609</v>
      </c>
      <c r="I16" s="559">
        <f>'[4]FOFIR  INCREMENTO'!J19+'[4]FFOR ESTIMACIONES'!J19</f>
        <v>130974.14327742737</v>
      </c>
      <c r="J16" s="559">
        <f>'[4]FOFIR  INCREMENTO'!K19+'[4]FFOR ESTIMACIONES'!K19</f>
        <v>130974.14327742737</v>
      </c>
      <c r="K16" s="559">
        <f>'[4]FOFIR  INCREMENTO'!L19+'[4]FFOR ESTIMACIONES'!L19</f>
        <v>182041.63685868873</v>
      </c>
      <c r="L16" s="559">
        <f>'[4]FOFIR  INCREMENTO'!M19+'[4]FFOR ESTIMACIONES'!M19</f>
        <v>130974.1432774274</v>
      </c>
      <c r="M16" s="559">
        <f>'[4]FOFIR  INCREMENTO'!N19+'[4]FFOR ESTIMACIONES'!N19</f>
        <v>130974.1432774274</v>
      </c>
      <c r="N16" s="560">
        <f t="shared" si="0"/>
        <v>1790167.5258317711</v>
      </c>
      <c r="P16" s="561"/>
    </row>
    <row r="17" spans="1:16" ht="12.75" customHeight="1" x14ac:dyDescent="0.2">
      <c r="A17" s="557" t="s">
        <v>277</v>
      </c>
      <c r="B17" s="559">
        <f>'[4]FOFIR  INCREMENTO'!C20+'[4]FFOR ESTIMACIONES'!C20</f>
        <v>32082.245978128209</v>
      </c>
      <c r="C17" s="559">
        <f>'[4]FOFIR  INCREMENTO'!D20+'[4]FFOR ESTIMACIONES'!D20</f>
        <v>24734.573295392911</v>
      </c>
      <c r="D17" s="559">
        <f>'[4]FOFIR  INCREMENTO'!E20+'[4]FFOR ESTIMACIONES'!E20</f>
        <v>24734.573295392911</v>
      </c>
      <c r="E17" s="559">
        <f>'[4]FOFIR  INCREMENTO'!F20+'[4]FFOR ESTIMACIONES'!F20</f>
        <v>37898.266086048701</v>
      </c>
      <c r="F17" s="559">
        <f>'[4]FOFIR  INCREMENTO'!G20+'[4]FFOR ESTIMACIONES'!G20</f>
        <v>24734.573295392911</v>
      </c>
      <c r="G17" s="559">
        <f>'[4]FOFIR  INCREMENTO'!H20+'[4]FFOR ESTIMACIONES'!H20</f>
        <v>24734.573295392911</v>
      </c>
      <c r="H17" s="559">
        <f>'[4]FOFIR  INCREMENTO'!I20+'[4]FFOR ESTIMACIONES'!I20</f>
        <v>31863.80267220438</v>
      </c>
      <c r="I17" s="559">
        <f>'[4]FOFIR  INCREMENTO'!J20+'[4]FFOR ESTIMACIONES'!J20</f>
        <v>24734.573295392915</v>
      </c>
      <c r="J17" s="559">
        <f>'[4]FOFIR  INCREMENTO'!K20+'[4]FFOR ESTIMACIONES'!K20</f>
        <v>24734.573295392915</v>
      </c>
      <c r="K17" s="559">
        <f>'[4]FOFIR  INCREMENTO'!L20+'[4]FFOR ESTIMACIONES'!L20</f>
        <v>33159.848552051655</v>
      </c>
      <c r="L17" s="559">
        <f>'[4]FOFIR  INCREMENTO'!M20+'[4]FFOR ESTIMACIONES'!M20</f>
        <v>24734.573295392922</v>
      </c>
      <c r="M17" s="559">
        <f>'[4]FOFIR  INCREMENTO'!N20+'[4]FFOR ESTIMACIONES'!N20</f>
        <v>24734.573295392922</v>
      </c>
      <c r="N17" s="560">
        <f t="shared" si="0"/>
        <v>332880.74965157622</v>
      </c>
      <c r="P17" s="561"/>
    </row>
    <row r="18" spans="1:16" ht="12.75" customHeight="1" x14ac:dyDescent="0.2">
      <c r="A18" s="557" t="s">
        <v>278</v>
      </c>
      <c r="B18" s="559">
        <f>'[4]FOFIR  INCREMENTO'!C21+'[4]FFOR ESTIMACIONES'!C21</f>
        <v>99391.400023789014</v>
      </c>
      <c r="C18" s="559">
        <f>'[4]FOFIR  INCREMENTO'!D21+'[4]FFOR ESTIMACIONES'!D21</f>
        <v>75403.363201752349</v>
      </c>
      <c r="D18" s="559">
        <f>'[4]FOFIR  INCREMENTO'!E21+'[4]FFOR ESTIMACIONES'!E21</f>
        <v>75403.363201752349</v>
      </c>
      <c r="E18" s="559">
        <f>'[4]FOFIR  INCREMENTO'!F21+'[4]FFOR ESTIMACIONES'!F21</f>
        <v>118081.71964193785</v>
      </c>
      <c r="F18" s="559">
        <f>'[4]FOFIR  INCREMENTO'!G21+'[4]FFOR ESTIMACIONES'!G21</f>
        <v>75403.363201752349</v>
      </c>
      <c r="G18" s="559">
        <f>'[4]FOFIR  INCREMENTO'!H21+'[4]FFOR ESTIMACIONES'!H21</f>
        <v>75403.363201752349</v>
      </c>
      <c r="H18" s="559">
        <f>'[4]FOFIR  INCREMENTO'!I21+'[4]FFOR ESTIMACIONES'!I21</f>
        <v>99273.330570092847</v>
      </c>
      <c r="I18" s="559">
        <f>'[4]FOFIR  INCREMENTO'!J21+'[4]FFOR ESTIMACIONES'!J21</f>
        <v>75403.363201752363</v>
      </c>
      <c r="J18" s="559">
        <f>'[4]FOFIR  INCREMENTO'!K21+'[4]FFOR ESTIMACIONES'!K21</f>
        <v>75403.363201752363</v>
      </c>
      <c r="K18" s="559">
        <f>'[4]FOFIR  INCREMENTO'!L21+'[4]FFOR ESTIMACIONES'!L21</f>
        <v>103011.63676344753</v>
      </c>
      <c r="L18" s="559">
        <f>'[4]FOFIR  INCREMENTO'!M21+'[4]FFOR ESTIMACIONES'!M21</f>
        <v>75403.363201752378</v>
      </c>
      <c r="M18" s="559">
        <f>'[4]FOFIR  INCREMENTO'!N21+'[4]FFOR ESTIMACIONES'!N21</f>
        <v>75403.363201752378</v>
      </c>
      <c r="N18" s="560">
        <f t="shared" si="0"/>
        <v>1022984.9926132861</v>
      </c>
      <c r="P18" s="561"/>
    </row>
    <row r="19" spans="1:16" ht="12.75" customHeight="1" x14ac:dyDescent="0.2">
      <c r="A19" s="557" t="s">
        <v>279</v>
      </c>
      <c r="B19" s="559">
        <f>'[4]FOFIR  INCREMENTO'!C22+'[4]FFOR ESTIMACIONES'!C22</f>
        <v>420065.61621562677</v>
      </c>
      <c r="C19" s="559">
        <f>'[4]FOFIR  INCREMENTO'!D22+'[4]FFOR ESTIMACIONES'!D22</f>
        <v>297399.6705633708</v>
      </c>
      <c r="D19" s="559">
        <f>'[4]FOFIR  INCREMENTO'!E22+'[4]FFOR ESTIMACIONES'!E22</f>
        <v>297399.6705633708</v>
      </c>
      <c r="E19" s="559">
        <f>'[4]FOFIR  INCREMENTO'!F22+'[4]FFOR ESTIMACIONES'!F22</f>
        <v>510738.40749591962</v>
      </c>
      <c r="F19" s="559">
        <f>'[4]FOFIR  INCREMENTO'!G22+'[4]FFOR ESTIMACIONES'!G22</f>
        <v>297399.6705633708</v>
      </c>
      <c r="G19" s="559">
        <f>'[4]FOFIR  INCREMENTO'!H22+'[4]FFOR ESTIMACIONES'!H22</f>
        <v>297399.6705633708</v>
      </c>
      <c r="H19" s="559">
        <f>'[4]FOFIR  INCREMENTO'!I22+'[4]FFOR ESTIMACIONES'!I22</f>
        <v>429274.62224649225</v>
      </c>
      <c r="I19" s="559">
        <f>'[4]FOFIR  INCREMENTO'!J22+'[4]FFOR ESTIMACIONES'!J22</f>
        <v>297399.6705633708</v>
      </c>
      <c r="J19" s="559">
        <f>'[4]FOFIR  INCREMENTO'!K22+'[4]FFOR ESTIMACIONES'!K22</f>
        <v>297399.6705633708</v>
      </c>
      <c r="K19" s="559">
        <f>'[4]FOFIR  INCREMENTO'!L22+'[4]FFOR ESTIMACIONES'!L22</f>
        <v>440262.99265450577</v>
      </c>
      <c r="L19" s="559">
        <f>'[4]FOFIR  INCREMENTO'!M22+'[4]FFOR ESTIMACIONES'!M22</f>
        <v>297399.67056337092</v>
      </c>
      <c r="M19" s="559">
        <f>'[4]FOFIR  INCREMENTO'!N22+'[4]FFOR ESTIMACIONES'!N22</f>
        <v>297399.67056337092</v>
      </c>
      <c r="N19" s="560">
        <f t="shared" si="0"/>
        <v>4179539.0031195115</v>
      </c>
      <c r="P19" s="561"/>
    </row>
    <row r="20" spans="1:16" ht="12.75" customHeight="1" x14ac:dyDescent="0.2">
      <c r="A20" s="557" t="s">
        <v>159</v>
      </c>
      <c r="B20" s="559">
        <f>'[4]FOFIR  INCREMENTO'!C23+'[4]FFOR ESTIMACIONES'!C23</f>
        <v>170533.97903100238</v>
      </c>
      <c r="C20" s="559">
        <f>'[4]FOFIR  INCREMENTO'!D23+'[4]FFOR ESTIMACIONES'!D23</f>
        <v>129601.39277329139</v>
      </c>
      <c r="D20" s="559">
        <f>'[4]FOFIR  INCREMENTO'!E23+'[4]FFOR ESTIMACIONES'!E23</f>
        <v>129601.39277329139</v>
      </c>
      <c r="E20" s="559">
        <f>'[4]FOFIR  INCREMENTO'!F23+'[4]FFOR ESTIMACIONES'!F23</f>
        <v>202478.65253937428</v>
      </c>
      <c r="F20" s="559">
        <f>'[4]FOFIR  INCREMENTO'!G23+'[4]FFOR ESTIMACIONES'!G23</f>
        <v>129601.39277329139</v>
      </c>
      <c r="G20" s="559">
        <f>'[4]FOFIR  INCREMENTO'!H23+'[4]FFOR ESTIMACIONES'!H23</f>
        <v>129601.39277329139</v>
      </c>
      <c r="H20" s="559">
        <f>'[4]FOFIR  INCREMENTO'!I23+'[4]FFOR ESTIMACIONES'!I23</f>
        <v>170228.46891281396</v>
      </c>
      <c r="I20" s="559">
        <f>'[4]FOFIR  INCREMENTO'!J23+'[4]FFOR ESTIMACIONES'!J23</f>
        <v>129601.3927732914</v>
      </c>
      <c r="J20" s="559">
        <f>'[4]FOFIR  INCREMENTO'!K23+'[4]FFOR ESTIMACIONES'!K23</f>
        <v>129601.3927732914</v>
      </c>
      <c r="K20" s="559">
        <f>'[4]FOFIR  INCREMENTO'!L23+'[4]FFOR ESTIMACIONES'!L23</f>
        <v>176693.59722003041</v>
      </c>
      <c r="L20" s="559">
        <f>'[4]FOFIR  INCREMENTO'!M23+'[4]FFOR ESTIMACIONES'!M23</f>
        <v>129601.39277329143</v>
      </c>
      <c r="M20" s="559">
        <f>'[4]FOFIR  INCREMENTO'!N23+'[4]FFOR ESTIMACIONES'!N23</f>
        <v>129601.39277329143</v>
      </c>
      <c r="N20" s="560">
        <f t="shared" si="0"/>
        <v>1756745.839889552</v>
      </c>
      <c r="P20" s="561"/>
    </row>
    <row r="21" spans="1:16" ht="12.75" customHeight="1" x14ac:dyDescent="0.2">
      <c r="A21" s="557" t="s">
        <v>160</v>
      </c>
      <c r="B21" s="559">
        <f>'[4]FOFIR  INCREMENTO'!C24+'[4]FFOR ESTIMACIONES'!C24</f>
        <v>4412920.4130918365</v>
      </c>
      <c r="C21" s="559">
        <f>'[4]FOFIR  INCREMENTO'!D24+'[4]FFOR ESTIMACIONES'!D24</f>
        <v>1495464.6506116232</v>
      </c>
      <c r="D21" s="559">
        <f>'[4]FOFIR  INCREMENTO'!E24+'[4]FFOR ESTIMACIONES'!E24</f>
        <v>1495464.6506116232</v>
      </c>
      <c r="E21" s="559">
        <f>'[4]FOFIR  INCREMENTO'!F24+'[4]FFOR ESTIMACIONES'!F24</f>
        <v>6259364.9387764577</v>
      </c>
      <c r="F21" s="559">
        <f>'[4]FOFIR  INCREMENTO'!G24+'[4]FFOR ESTIMACIONES'!G24</f>
        <v>1495464.6506116232</v>
      </c>
      <c r="G21" s="559">
        <f>'[4]FOFIR  INCREMENTO'!H24+'[4]FFOR ESTIMACIONES'!H24</f>
        <v>1495464.6506116232</v>
      </c>
      <c r="H21" s="559">
        <f>'[4]FOFIR  INCREMENTO'!I24+'[4]FFOR ESTIMACIONES'!I24</f>
        <v>5252613.6326778764</v>
      </c>
      <c r="I21" s="559">
        <f>'[4]FOFIR  INCREMENTO'!J24+'[4]FFOR ESTIMACIONES'!J24</f>
        <v>1495464.6506116227</v>
      </c>
      <c r="J21" s="559">
        <f>'[4]FOFIR  INCREMENTO'!K24+'[4]FFOR ESTIMACIONES'!K24</f>
        <v>1495464.6506116227</v>
      </c>
      <c r="K21" s="559">
        <f>'[4]FOFIR  INCREMENTO'!L24+'[4]FFOR ESTIMACIONES'!L24</f>
        <v>4999856.7513061259</v>
      </c>
      <c r="L21" s="559">
        <f>'[4]FOFIR  INCREMENTO'!M24+'[4]FFOR ESTIMACIONES'!M24</f>
        <v>1495464.650611623</v>
      </c>
      <c r="M21" s="559">
        <f>'[4]FOFIR  INCREMENTO'!N24+'[4]FFOR ESTIMACIONES'!N24</f>
        <v>1495464.650611623</v>
      </c>
      <c r="N21" s="560">
        <f t="shared" si="0"/>
        <v>32888472.940745287</v>
      </c>
      <c r="P21" s="561"/>
    </row>
    <row r="22" spans="1:16" ht="12.75" customHeight="1" x14ac:dyDescent="0.2">
      <c r="A22" s="557" t="s">
        <v>161</v>
      </c>
      <c r="B22" s="559">
        <f>'[4]FOFIR  INCREMENTO'!C25+'[4]FFOR ESTIMACIONES'!C25</f>
        <v>129036.36345567444</v>
      </c>
      <c r="C22" s="559">
        <f>'[4]FOFIR  INCREMENTO'!D25+'[4]FFOR ESTIMACIONES'!D25</f>
        <v>99018.198689019351</v>
      </c>
      <c r="D22" s="559">
        <f>'[4]FOFIR  INCREMENTO'!E25+'[4]FFOR ESTIMACIONES'!E25</f>
        <v>99018.198689019351</v>
      </c>
      <c r="E22" s="559">
        <f>'[4]FOFIR  INCREMENTO'!F25+'[4]FFOR ESTIMACIONES'!F25</f>
        <v>152684.13042086223</v>
      </c>
      <c r="F22" s="559">
        <f>'[4]FOFIR  INCREMENTO'!G25+'[4]FFOR ESTIMACIONES'!G25</f>
        <v>99018.198689019351</v>
      </c>
      <c r="G22" s="559">
        <f>'[4]FOFIR  INCREMENTO'!H25+'[4]FFOR ESTIMACIONES'!H25</f>
        <v>99018.198689019351</v>
      </c>
      <c r="H22" s="559">
        <f>'[4]FOFIR  INCREMENTO'!I25+'[4]FFOR ESTIMACIONES'!I25</f>
        <v>128370.08658560559</v>
      </c>
      <c r="I22" s="559">
        <f>'[4]FOFIR  INCREMENTO'!J25+'[4]FFOR ESTIMACIONES'!J25</f>
        <v>99018.198689019366</v>
      </c>
      <c r="J22" s="559">
        <f>'[4]FOFIR  INCREMENTO'!K25+'[4]FFOR ESTIMACIONES'!K25</f>
        <v>99018.198689019366</v>
      </c>
      <c r="K22" s="559">
        <f>'[4]FOFIR  INCREMENTO'!L25+'[4]FFOR ESTIMACIONES'!L25</f>
        <v>133477.62796442886</v>
      </c>
      <c r="L22" s="559">
        <f>'[4]FOFIR  INCREMENTO'!M25+'[4]FFOR ESTIMACIONES'!M25</f>
        <v>99018.198689019395</v>
      </c>
      <c r="M22" s="559">
        <f>'[4]FOFIR  INCREMENTO'!N25+'[4]FFOR ESTIMACIONES'!N25</f>
        <v>99018.198689019395</v>
      </c>
      <c r="N22" s="560">
        <f t="shared" si="0"/>
        <v>1335713.7979387259</v>
      </c>
      <c r="P22" s="561"/>
    </row>
    <row r="23" spans="1:16" ht="12.75" customHeight="1" thickBot="1" x14ac:dyDescent="0.25">
      <c r="A23" s="557" t="s">
        <v>162</v>
      </c>
      <c r="B23" s="559">
        <f>'[4]FOFIR  INCREMENTO'!C26+'[4]FFOR ESTIMACIONES'!C26</f>
        <v>252294.59741357152</v>
      </c>
      <c r="C23" s="559">
        <f>'[4]FOFIR  INCREMENTO'!D26+'[4]FFOR ESTIMACIONES'!D26</f>
        <v>155725.51565779196</v>
      </c>
      <c r="D23" s="559">
        <f>'[4]FOFIR  INCREMENTO'!E26+'[4]FFOR ESTIMACIONES'!E26</f>
        <v>155725.51565779196</v>
      </c>
      <c r="E23" s="559">
        <f>'[4]FOFIR  INCREMENTO'!F26+'[4]FFOR ESTIMACIONES'!F26</f>
        <v>319318.22507719009</v>
      </c>
      <c r="F23" s="559">
        <f>'[4]FOFIR  INCREMENTO'!G26+'[4]FFOR ESTIMACIONES'!G26</f>
        <v>155725.51565779196</v>
      </c>
      <c r="G23" s="559">
        <f>'[4]FOFIR  INCREMENTO'!H26+'[4]FFOR ESTIMACIONES'!H26</f>
        <v>155725.51565779196</v>
      </c>
      <c r="H23" s="559">
        <f>'[4]FOFIR  INCREMENTO'!I26+'[4]FFOR ESTIMACIONES'!I26</f>
        <v>268268.68315012148</v>
      </c>
      <c r="I23" s="559">
        <f>'[4]FOFIR  INCREMENTO'!J26+'[4]FFOR ESTIMACIONES'!J26</f>
        <v>155725.51565779193</v>
      </c>
      <c r="J23" s="559">
        <f>'[4]FOFIR  INCREMENTO'!K26+'[4]FFOR ESTIMACIONES'!K26</f>
        <v>155725.51565779193</v>
      </c>
      <c r="K23" s="559">
        <f>'[4]FOFIR  INCREMENTO'!L26+'[4]FFOR ESTIMACIONES'!L26</f>
        <v>269692.96717135882</v>
      </c>
      <c r="L23" s="559">
        <f>'[4]FOFIR  INCREMENTO'!M26+'[4]FFOR ESTIMACIONES'!M26</f>
        <v>155725.51565779198</v>
      </c>
      <c r="M23" s="559">
        <f>'[4]FOFIR  INCREMENTO'!N26+'[4]FFOR ESTIMACIONES'!N26</f>
        <v>155725.51565779198</v>
      </c>
      <c r="N23" s="560">
        <f t="shared" si="0"/>
        <v>2355378.5980745773</v>
      </c>
      <c r="P23" s="561"/>
    </row>
    <row r="24" spans="1:16" ht="13.5" thickBot="1" x14ac:dyDescent="0.25">
      <c r="A24" s="562" t="s">
        <v>280</v>
      </c>
      <c r="B24" s="564">
        <f t="shared" ref="B24:M24" si="1">SUM(B4:B23)</f>
        <v>8600323.0550843012</v>
      </c>
      <c r="C24" s="564">
        <f t="shared" si="1"/>
        <v>3786233.6736040069</v>
      </c>
      <c r="D24" s="564">
        <f t="shared" si="1"/>
        <v>3786233.6736040069</v>
      </c>
      <c r="E24" s="564">
        <f t="shared" si="1"/>
        <v>11720443.243427617</v>
      </c>
      <c r="F24" s="564">
        <f t="shared" si="1"/>
        <v>3786233.6736040069</v>
      </c>
      <c r="G24" s="564">
        <f t="shared" si="1"/>
        <v>3786233.6736040069</v>
      </c>
      <c r="H24" s="564">
        <f t="shared" si="1"/>
        <v>9839176.3666764665</v>
      </c>
      <c r="I24" s="564">
        <f t="shared" si="1"/>
        <v>3786233.6736040059</v>
      </c>
      <c r="J24" s="564">
        <f t="shared" si="1"/>
        <v>3786233.6736040059</v>
      </c>
      <c r="K24" s="564">
        <f t="shared" si="1"/>
        <v>9543633.8618403543</v>
      </c>
      <c r="L24" s="564">
        <f t="shared" si="1"/>
        <v>3786233.6736040064</v>
      </c>
      <c r="M24" s="564">
        <f t="shared" si="1"/>
        <v>3786233.6736040064</v>
      </c>
      <c r="N24" s="564">
        <f t="shared" si="0"/>
        <v>69993445.915860787</v>
      </c>
    </row>
    <row r="25" spans="1:16" x14ac:dyDescent="0.2">
      <c r="A25" s="565"/>
      <c r="B25" s="565"/>
      <c r="C25" s="565"/>
      <c r="D25" s="565"/>
      <c r="E25" s="565"/>
      <c r="F25" s="565"/>
      <c r="G25" s="565"/>
      <c r="H25" s="565"/>
      <c r="I25" s="565"/>
      <c r="J25" s="565"/>
      <c r="K25" s="565"/>
      <c r="L25" s="565"/>
      <c r="M25" s="565"/>
      <c r="N25" s="565"/>
    </row>
    <row r="26" spans="1:16" x14ac:dyDescent="0.2">
      <c r="A26" s="566" t="s">
        <v>281</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FFFF00"/>
  </sheetPr>
  <dimension ref="A1:Q30"/>
  <sheetViews>
    <sheetView workbookViewId="0">
      <selection activeCell="B7" sqref="B7"/>
    </sheetView>
  </sheetViews>
  <sheetFormatPr baseColWidth="10" defaultRowHeight="15" x14ac:dyDescent="0.25"/>
  <cols>
    <col min="1" max="1" width="16.5703125" customWidth="1"/>
    <col min="2" max="2" width="9.28515625" customWidth="1"/>
    <col min="3" max="10" width="7.85546875" customWidth="1"/>
    <col min="11" max="11" width="10.140625" bestFit="1" customWidth="1"/>
    <col min="12" max="12" width="7.85546875" customWidth="1"/>
    <col min="13" max="14" width="10.140625" bestFit="1" customWidth="1"/>
    <col min="15" max="15" width="7.85546875" customWidth="1"/>
    <col min="16" max="16" width="12.7109375" bestFit="1" customWidth="1"/>
  </cols>
  <sheetData>
    <row r="1" spans="1:17" x14ac:dyDescent="0.25">
      <c r="A1" s="1215" t="s">
        <v>345</v>
      </c>
      <c r="B1" s="1215"/>
      <c r="C1" s="1215"/>
      <c r="D1" s="1215"/>
      <c r="E1" s="1215"/>
      <c r="F1" s="1215"/>
      <c r="G1" s="1215"/>
      <c r="H1" s="1215"/>
      <c r="I1" s="1215"/>
      <c r="J1" s="1215"/>
      <c r="K1" s="1215"/>
      <c r="L1" s="1215"/>
      <c r="M1" s="1215"/>
      <c r="N1" s="1215"/>
      <c r="O1" s="1215"/>
      <c r="P1" s="552"/>
      <c r="Q1" s="552"/>
    </row>
    <row r="2" spans="1:17" ht="15.75" thickBot="1" x14ac:dyDescent="0.3">
      <c r="A2" s="552"/>
      <c r="B2" s="552"/>
      <c r="C2" s="552"/>
      <c r="D2" s="552"/>
      <c r="E2" s="552"/>
      <c r="F2" s="552"/>
      <c r="G2" s="552"/>
      <c r="H2" s="552"/>
      <c r="I2" s="552"/>
      <c r="J2" s="552"/>
      <c r="K2" s="552"/>
      <c r="L2" s="552"/>
      <c r="M2" s="552"/>
      <c r="N2" s="552"/>
      <c r="O2" s="552"/>
      <c r="P2" s="552"/>
      <c r="Q2" s="552"/>
    </row>
    <row r="3" spans="1:17" ht="24" thickBot="1" x14ac:dyDescent="0.3">
      <c r="A3" s="553" t="s">
        <v>305</v>
      </c>
      <c r="B3" s="554" t="s">
        <v>273</v>
      </c>
      <c r="C3" s="553" t="s">
        <v>1</v>
      </c>
      <c r="D3" s="555" t="s">
        <v>2</v>
      </c>
      <c r="E3" s="553" t="s">
        <v>3</v>
      </c>
      <c r="F3" s="555" t="s">
        <v>4</v>
      </c>
      <c r="G3" s="553" t="s">
        <v>5</v>
      </c>
      <c r="H3" s="553" t="s">
        <v>6</v>
      </c>
      <c r="I3" s="553" t="s">
        <v>7</v>
      </c>
      <c r="J3" s="555" t="s">
        <v>8</v>
      </c>
      <c r="K3" s="553" t="s">
        <v>9</v>
      </c>
      <c r="L3" s="555" t="s">
        <v>10</v>
      </c>
      <c r="M3" s="553" t="s">
        <v>11</v>
      </c>
      <c r="N3" s="553" t="s">
        <v>12</v>
      </c>
      <c r="O3" s="556" t="s">
        <v>165</v>
      </c>
      <c r="P3" s="552"/>
      <c r="Q3" s="552"/>
    </row>
    <row r="4" spans="1:17" ht="12.75" customHeight="1" x14ac:dyDescent="0.25">
      <c r="A4" s="557" t="s">
        <v>274</v>
      </c>
      <c r="B4" s="558">
        <f>'[2]FGP simpl'!$C$16</f>
        <v>3.6636711021849497</v>
      </c>
      <c r="C4" s="559">
        <f t="shared" ref="C4:C23" si="0">$C$29*B4/100</f>
        <v>26495.964336525285</v>
      </c>
      <c r="D4" s="559">
        <f t="shared" ref="D4:D23" si="1">$D$29*B4/100</f>
        <v>34355.640699795986</v>
      </c>
      <c r="E4" s="559">
        <f t="shared" ref="E4:E23" si="2">$E$29*B4/100</f>
        <v>27055.978446520865</v>
      </c>
      <c r="F4" s="559">
        <f t="shared" ref="F4:F23" si="3">$F$29*B4/100</f>
        <v>23926.746282284919</v>
      </c>
      <c r="G4" s="559">
        <f t="shared" ref="G4:G23" si="4">$G$29*B4/100</f>
        <v>25964.125689141052</v>
      </c>
      <c r="H4" s="559">
        <f t="shared" ref="H4:H23" si="5">$H$29*B4/100</f>
        <v>23113.490982446336</v>
      </c>
      <c r="I4" s="559">
        <f t="shared" ref="I4:I23" si="6">$I$29*B4/100</f>
        <v>24585.242619260553</v>
      </c>
      <c r="J4" s="559">
        <f t="shared" ref="J4:J23" si="7">$J$29*B4/100</f>
        <v>23957.707966769485</v>
      </c>
      <c r="K4" s="559">
        <f t="shared" ref="K4:K23" si="8">$K$29*B4/100</f>
        <v>23186.649914768088</v>
      </c>
      <c r="L4" s="559">
        <f t="shared" ref="L4:L23" si="9">$L$29*B4/100</f>
        <v>23839.516105177448</v>
      </c>
      <c r="M4" s="559">
        <f t="shared" ref="M4:M23" si="10">$M$29*B4/100</f>
        <v>22454.994645470691</v>
      </c>
      <c r="N4" s="559">
        <f t="shared" ref="N4:N23" si="11">$N$29*B4/100</f>
        <v>24315.086259938773</v>
      </c>
      <c r="O4" s="560">
        <f>SUM(C4:N4)</f>
        <v>303251.14394809952</v>
      </c>
      <c r="P4" s="561"/>
      <c r="Q4" s="561"/>
    </row>
    <row r="5" spans="1:17" ht="12.75" customHeight="1" x14ac:dyDescent="0.25">
      <c r="A5" s="557" t="s">
        <v>144</v>
      </c>
      <c r="B5" s="558">
        <v>2.8774681766767136</v>
      </c>
      <c r="C5" s="559">
        <f t="shared" si="0"/>
        <v>20810.081489914217</v>
      </c>
      <c r="D5" s="559">
        <f t="shared" si="1"/>
        <v>26983.116127439902</v>
      </c>
      <c r="E5" s="559">
        <f t="shared" si="2"/>
        <v>21249.91976552831</v>
      </c>
      <c r="F5" s="559">
        <f t="shared" si="3"/>
        <v>18792.202978491361</v>
      </c>
      <c r="G5" s="559">
        <f t="shared" si="4"/>
        <v>20392.372383312853</v>
      </c>
      <c r="H5" s="559">
        <f t="shared" si="5"/>
        <v>18153.467628201968</v>
      </c>
      <c r="I5" s="559">
        <f t="shared" si="6"/>
        <v>19309.389756795652</v>
      </c>
      <c r="J5" s="559">
        <f t="shared" si="7"/>
        <v>18816.520462052453</v>
      </c>
      <c r="K5" s="559">
        <f t="shared" si="8"/>
        <v>18210.927070854981</v>
      </c>
      <c r="L5" s="559">
        <f t="shared" si="9"/>
        <v>18723.691899938771</v>
      </c>
      <c r="M5" s="559">
        <f t="shared" si="10"/>
        <v>17636.280849897674</v>
      </c>
      <c r="N5" s="559">
        <f t="shared" si="11"/>
        <v>19097.20741154865</v>
      </c>
      <c r="O5" s="560">
        <f t="shared" ref="O5:O23" si="12">SUM(C5:N5)</f>
        <v>238175.17782397682</v>
      </c>
      <c r="P5" s="561"/>
      <c r="Q5" s="552"/>
    </row>
    <row r="6" spans="1:17" ht="12.75" customHeight="1" x14ac:dyDescent="0.25">
      <c r="A6" s="557" t="s">
        <v>145</v>
      </c>
      <c r="B6" s="558">
        <v>4.7152682285520395</v>
      </c>
      <c r="C6" s="559">
        <f t="shared" si="0"/>
        <v>34101.199407980748</v>
      </c>
      <c r="D6" s="559">
        <f t="shared" si="1"/>
        <v>44216.867875144613</v>
      </c>
      <c r="E6" s="559">
        <f t="shared" si="2"/>
        <v>34821.956448324301</v>
      </c>
      <c r="F6" s="559">
        <f t="shared" si="3"/>
        <v>30794.529151429349</v>
      </c>
      <c r="G6" s="559">
        <f t="shared" si="4"/>
        <v>33416.705137948877</v>
      </c>
      <c r="H6" s="559">
        <f t="shared" si="5"/>
        <v>29747.842161774763</v>
      </c>
      <c r="I6" s="559">
        <f t="shared" si="6"/>
        <v>31642.036138207539</v>
      </c>
      <c r="J6" s="559">
        <f t="shared" si="7"/>
        <v>30834.377883228841</v>
      </c>
      <c r="K6" s="559">
        <f t="shared" si="8"/>
        <v>29842.000174213663</v>
      </c>
      <c r="L6" s="559">
        <f t="shared" si="9"/>
        <v>30682.260972541637</v>
      </c>
      <c r="M6" s="559">
        <f t="shared" si="10"/>
        <v>28900.335174996566</v>
      </c>
      <c r="N6" s="559">
        <f t="shared" si="11"/>
        <v>31294.335795485295</v>
      </c>
      <c r="O6" s="560">
        <f t="shared" si="12"/>
        <v>390294.44632127619</v>
      </c>
      <c r="P6" s="561"/>
      <c r="Q6" s="552"/>
    </row>
    <row r="7" spans="1:17" ht="12.75" customHeight="1" x14ac:dyDescent="0.25">
      <c r="A7" s="557" t="s">
        <v>275</v>
      </c>
      <c r="B7" s="558">
        <v>9.1392838894846484</v>
      </c>
      <c r="C7" s="559">
        <f t="shared" si="0"/>
        <v>66096.036801106078</v>
      </c>
      <c r="D7" s="559">
        <f t="shared" si="1"/>
        <v>85702.549383680409</v>
      </c>
      <c r="E7" s="559">
        <f t="shared" si="2"/>
        <v>67493.031179317157</v>
      </c>
      <c r="F7" s="559">
        <f t="shared" si="3"/>
        <v>59686.94261203205</v>
      </c>
      <c r="G7" s="559">
        <f t="shared" si="4"/>
        <v>64769.328085647096</v>
      </c>
      <c r="H7" s="559">
        <f t="shared" si="5"/>
        <v>57658.220367991045</v>
      </c>
      <c r="I7" s="559">
        <f t="shared" si="6"/>
        <v>61329.607795655364</v>
      </c>
      <c r="J7" s="559">
        <f t="shared" si="7"/>
        <v>59764.178700182085</v>
      </c>
      <c r="K7" s="559">
        <f t="shared" si="8"/>
        <v>57840.720443159196</v>
      </c>
      <c r="L7" s="559">
        <f t="shared" si="9"/>
        <v>59469.340832265356</v>
      </c>
      <c r="M7" s="559">
        <f t="shared" si="10"/>
        <v>56015.555184367717</v>
      </c>
      <c r="N7" s="559">
        <f t="shared" si="11"/>
        <v>60655.683856107695</v>
      </c>
      <c r="O7" s="560">
        <f t="shared" si="12"/>
        <v>756481.1952415111</v>
      </c>
      <c r="P7" s="561"/>
      <c r="Q7" s="552"/>
    </row>
    <row r="8" spans="1:17" ht="12.75" customHeight="1" x14ac:dyDescent="0.25">
      <c r="A8" s="557" t="s">
        <v>147</v>
      </c>
      <c r="B8" s="558">
        <v>5.3963653133391265</v>
      </c>
      <c r="C8" s="559">
        <f t="shared" si="0"/>
        <v>39026.948353476284</v>
      </c>
      <c r="D8" s="559">
        <f t="shared" si="1"/>
        <v>50603.774907456704</v>
      </c>
      <c r="E8" s="559">
        <f t="shared" si="2"/>
        <v>39851.815169812056</v>
      </c>
      <c r="F8" s="559">
        <f t="shared" si="3"/>
        <v>35242.645995647603</v>
      </c>
      <c r="G8" s="559">
        <f t="shared" si="4"/>
        <v>38243.582284582757</v>
      </c>
      <c r="H8" s="559">
        <f t="shared" si="5"/>
        <v>34044.770267031876</v>
      </c>
      <c r="I8" s="559">
        <f t="shared" si="6"/>
        <v>36212.571158879895</v>
      </c>
      <c r="J8" s="559">
        <f t="shared" si="7"/>
        <v>35288.250678910626</v>
      </c>
      <c r="K8" s="559">
        <f t="shared" si="8"/>
        <v>34152.52893688262</v>
      </c>
      <c r="L8" s="559">
        <f t="shared" si="9"/>
        <v>35114.16123571965</v>
      </c>
      <c r="M8" s="559">
        <f t="shared" si="10"/>
        <v>33074.845103799576</v>
      </c>
      <c r="N8" s="559">
        <f t="shared" si="11"/>
        <v>35814.64722794827</v>
      </c>
      <c r="O8" s="560">
        <f t="shared" si="12"/>
        <v>446670.54132014792</v>
      </c>
      <c r="P8" s="561"/>
      <c r="Q8" s="552"/>
    </row>
    <row r="9" spans="1:17" ht="12.75" customHeight="1" x14ac:dyDescent="0.25">
      <c r="A9" s="557" t="s">
        <v>276</v>
      </c>
      <c r="B9" s="558">
        <v>3.6295907588400458</v>
      </c>
      <c r="C9" s="559">
        <f t="shared" si="0"/>
        <v>26249.492549987299</v>
      </c>
      <c r="D9" s="559">
        <f t="shared" si="1"/>
        <v>34036.056327119913</v>
      </c>
      <c r="E9" s="559">
        <f t="shared" si="2"/>
        <v>26804.297275020555</v>
      </c>
      <c r="F9" s="559">
        <f t="shared" si="3"/>
        <v>23704.173975523991</v>
      </c>
      <c r="G9" s="559">
        <f t="shared" si="4"/>
        <v>25722.601192684906</v>
      </c>
      <c r="H9" s="559">
        <f t="shared" si="5"/>
        <v>22898.483770660503</v>
      </c>
      <c r="I9" s="559">
        <f t="shared" si="6"/>
        <v>24356.544822347929</v>
      </c>
      <c r="J9" s="559">
        <f t="shared" si="7"/>
        <v>23734.847647026945</v>
      </c>
      <c r="K9" s="559">
        <f t="shared" si="8"/>
        <v>22970.962161126092</v>
      </c>
      <c r="L9" s="559">
        <f t="shared" si="9"/>
        <v>23617.755234351385</v>
      </c>
      <c r="M9" s="559">
        <f t="shared" si="10"/>
        <v>22246.112923836557</v>
      </c>
      <c r="N9" s="559">
        <f t="shared" si="11"/>
        <v>24088.901521984139</v>
      </c>
      <c r="O9" s="560">
        <f t="shared" si="12"/>
        <v>300430.22940167016</v>
      </c>
      <c r="P9" s="561"/>
      <c r="Q9" s="552"/>
    </row>
    <row r="10" spans="1:17" ht="12.75" customHeight="1" x14ac:dyDescent="0.25">
      <c r="A10" s="557" t="s">
        <v>149</v>
      </c>
      <c r="B10" s="558">
        <v>4.0700473326514279</v>
      </c>
      <c r="C10" s="559">
        <f t="shared" si="0"/>
        <v>29434.909948545406</v>
      </c>
      <c r="D10" s="559">
        <f t="shared" si="1"/>
        <v>38166.385543818011</v>
      </c>
      <c r="E10" s="559">
        <f t="shared" si="2"/>
        <v>30057.041103625172</v>
      </c>
      <c r="F10" s="559">
        <f t="shared" si="3"/>
        <v>26580.712943136106</v>
      </c>
      <c r="G10" s="559">
        <f t="shared" si="4"/>
        <v>28844.079492477395</v>
      </c>
      <c r="H10" s="559">
        <f t="shared" si="5"/>
        <v>25677.250958816974</v>
      </c>
      <c r="I10" s="559">
        <f t="shared" si="6"/>
        <v>27312.250023053039</v>
      </c>
      <c r="J10" s="559">
        <f t="shared" si="7"/>
        <v>26615.108913144344</v>
      </c>
      <c r="K10" s="559">
        <f t="shared" si="8"/>
        <v>25758.524716490858</v>
      </c>
      <c r="L10" s="559">
        <f t="shared" si="9"/>
        <v>26483.807151169338</v>
      </c>
      <c r="M10" s="559">
        <f t="shared" si="10"/>
        <v>24945.713878900035</v>
      </c>
      <c r="N10" s="559">
        <f t="shared" si="11"/>
        <v>27012.127785278823</v>
      </c>
      <c r="O10" s="560">
        <f t="shared" si="12"/>
        <v>336887.91245845548</v>
      </c>
      <c r="P10" s="561"/>
      <c r="Q10" s="552"/>
    </row>
    <row r="11" spans="1:17" ht="12.75" customHeight="1" x14ac:dyDescent="0.25">
      <c r="A11" s="557" t="s">
        <v>150</v>
      </c>
      <c r="B11" s="558">
        <v>3.2056447774490451</v>
      </c>
      <c r="C11" s="559">
        <f t="shared" si="0"/>
        <v>23183.481084916079</v>
      </c>
      <c r="D11" s="559">
        <f t="shared" si="1"/>
        <v>30060.553230211095</v>
      </c>
      <c r="E11" s="559">
        <f t="shared" si="2"/>
        <v>23673.483123017828</v>
      </c>
      <c r="F11" s="559">
        <f t="shared" si="3"/>
        <v>20935.462578890361</v>
      </c>
      <c r="G11" s="559">
        <f t="shared" si="4"/>
        <v>22718.132057975297</v>
      </c>
      <c r="H11" s="559">
        <f t="shared" si="5"/>
        <v>20223.879161070578</v>
      </c>
      <c r="I11" s="559">
        <f t="shared" si="6"/>
        <v>21511.634752843518</v>
      </c>
      <c r="J11" s="559">
        <f t="shared" si="7"/>
        <v>20962.553482904579</v>
      </c>
      <c r="K11" s="559">
        <f t="shared" si="8"/>
        <v>20287.891880220264</v>
      </c>
      <c r="L11" s="559">
        <f t="shared" si="9"/>
        <v>20859.137779561683</v>
      </c>
      <c r="M11" s="559">
        <f t="shared" si="10"/>
        <v>19647.706987117417</v>
      </c>
      <c r="N11" s="559">
        <f t="shared" si="11"/>
        <v>21275.252911188014</v>
      </c>
      <c r="O11" s="560">
        <f t="shared" si="12"/>
        <v>265339.16902991669</v>
      </c>
      <c r="P11" s="561"/>
      <c r="Q11" s="552"/>
    </row>
    <row r="12" spans="1:17" ht="12.75" customHeight="1" x14ac:dyDescent="0.25">
      <c r="A12" s="557" t="s">
        <v>151</v>
      </c>
      <c r="B12" s="558">
        <v>3.1677886526185874</v>
      </c>
      <c r="C12" s="559">
        <f t="shared" si="0"/>
        <v>22909.702542724161</v>
      </c>
      <c r="D12" s="559">
        <f t="shared" si="1"/>
        <v>29705.561915028306</v>
      </c>
      <c r="E12" s="559">
        <f t="shared" si="2"/>
        <v>23393.918045008832</v>
      </c>
      <c r="F12" s="559">
        <f t="shared" si="3"/>
        <v>20688.23135403814</v>
      </c>
      <c r="G12" s="559">
        <f t="shared" si="4"/>
        <v>22449.848919072458</v>
      </c>
      <c r="H12" s="559">
        <f t="shared" si="5"/>
        <v>19985.051172560008</v>
      </c>
      <c r="I12" s="559">
        <f t="shared" si="6"/>
        <v>21257.599391146679</v>
      </c>
      <c r="J12" s="559">
        <f t="shared" si="7"/>
        <v>20715.002335941419</v>
      </c>
      <c r="K12" s="559">
        <f t="shared" si="8"/>
        <v>20048.307952216986</v>
      </c>
      <c r="L12" s="559">
        <f t="shared" si="9"/>
        <v>20612.807890113614</v>
      </c>
      <c r="M12" s="559">
        <f t="shared" si="10"/>
        <v>19415.683135451465</v>
      </c>
      <c r="N12" s="559">
        <f t="shared" si="11"/>
        <v>21024.009031744077</v>
      </c>
      <c r="O12" s="560">
        <f t="shared" si="12"/>
        <v>262205.72368504619</v>
      </c>
      <c r="P12" s="561"/>
      <c r="Q12" s="552"/>
    </row>
    <row r="13" spans="1:17" ht="12.75" customHeight="1" x14ac:dyDescent="0.25">
      <c r="A13" s="557" t="s">
        <v>152</v>
      </c>
      <c r="B13" s="558">
        <v>2.8145431996763457</v>
      </c>
      <c r="C13" s="559">
        <f t="shared" si="0"/>
        <v>20355.002990786907</v>
      </c>
      <c r="D13" s="559">
        <f t="shared" si="1"/>
        <v>26393.044627959971</v>
      </c>
      <c r="E13" s="559">
        <f t="shared" si="2"/>
        <v>20785.222806116635</v>
      </c>
      <c r="F13" s="559">
        <f t="shared" si="3"/>
        <v>18381.251799328878</v>
      </c>
      <c r="G13" s="559">
        <f t="shared" si="4"/>
        <v>19946.428419934291</v>
      </c>
      <c r="H13" s="559">
        <f t="shared" si="5"/>
        <v>17756.484425315321</v>
      </c>
      <c r="I13" s="559">
        <f t="shared" si="6"/>
        <v>18887.128646773297</v>
      </c>
      <c r="J13" s="559">
        <f t="shared" si="7"/>
        <v>18405.037503909341</v>
      </c>
      <c r="K13" s="559">
        <f t="shared" si="8"/>
        <v>17812.687334833856</v>
      </c>
      <c r="L13" s="559">
        <f t="shared" si="9"/>
        <v>18314.238933016182</v>
      </c>
      <c r="M13" s="559">
        <f t="shared" si="10"/>
        <v>17250.607577870895</v>
      </c>
      <c r="N13" s="559">
        <f t="shared" si="11"/>
        <v>18679.586342136568</v>
      </c>
      <c r="O13" s="560">
        <f t="shared" si="12"/>
        <v>232966.72140798214</v>
      </c>
      <c r="P13" s="561"/>
      <c r="Q13" s="552"/>
    </row>
    <row r="14" spans="1:17" ht="12.75" customHeight="1" x14ac:dyDescent="0.25">
      <c r="A14" s="557" t="s">
        <v>153</v>
      </c>
      <c r="B14" s="558">
        <v>3.814501471077032</v>
      </c>
      <c r="C14" s="559">
        <f t="shared" si="0"/>
        <v>27586.781706197518</v>
      </c>
      <c r="D14" s="559">
        <f t="shared" si="1"/>
        <v>35770.034572975179</v>
      </c>
      <c r="E14" s="559">
        <f t="shared" si="2"/>
        <v>28169.851143060467</v>
      </c>
      <c r="F14" s="559">
        <f t="shared" si="3"/>
        <v>24911.791027702169</v>
      </c>
      <c r="G14" s="559">
        <f t="shared" si="4"/>
        <v>27033.047692897882</v>
      </c>
      <c r="H14" s="559">
        <f t="shared" si="5"/>
        <v>24065.054666530061</v>
      </c>
      <c r="I14" s="559">
        <f t="shared" si="6"/>
        <v>25597.397124983767</v>
      </c>
      <c r="J14" s="559">
        <f t="shared" si="7"/>
        <v>24944.027379634241</v>
      </c>
      <c r="K14" s="559">
        <f t="shared" si="8"/>
        <v>24141.225492780628</v>
      </c>
      <c r="L14" s="559">
        <f t="shared" si="9"/>
        <v>24820.969654926554</v>
      </c>
      <c r="M14" s="559">
        <f t="shared" si="10"/>
        <v>23379.44856924846</v>
      </c>
      <c r="N14" s="559">
        <f t="shared" si="11"/>
        <v>25316.118647382656</v>
      </c>
      <c r="O14" s="560">
        <f t="shared" si="12"/>
        <v>315735.74767831952</v>
      </c>
      <c r="P14" s="561"/>
      <c r="Q14" s="552"/>
    </row>
    <row r="15" spans="1:17" ht="12.75" customHeight="1" x14ac:dyDescent="0.25">
      <c r="A15" s="557" t="s">
        <v>154</v>
      </c>
      <c r="B15" s="558">
        <v>3.0792318274418586</v>
      </c>
      <c r="C15" s="559">
        <f t="shared" si="0"/>
        <v>22269.252454221631</v>
      </c>
      <c r="D15" s="559">
        <f t="shared" si="1"/>
        <v>28875.130803056523</v>
      </c>
      <c r="E15" s="559">
        <f t="shared" si="2"/>
        <v>22739.931514437081</v>
      </c>
      <c r="F15" s="559">
        <f t="shared" si="3"/>
        <v>20109.883399631264</v>
      </c>
      <c r="G15" s="559">
        <f t="shared" si="4"/>
        <v>21822.25422637512</v>
      </c>
      <c r="H15" s="559">
        <f t="shared" si="5"/>
        <v>19426.360907231414</v>
      </c>
      <c r="I15" s="559">
        <f t="shared" si="6"/>
        <v>20663.334520792218</v>
      </c>
      <c r="J15" s="559">
        <f t="shared" si="7"/>
        <v>20135.905987804974</v>
      </c>
      <c r="K15" s="559">
        <f t="shared" si="8"/>
        <v>19487.849317785647</v>
      </c>
      <c r="L15" s="559">
        <f t="shared" si="9"/>
        <v>20036.568429435785</v>
      </c>
      <c r="M15" s="559">
        <f t="shared" si="10"/>
        <v>18872.909786070457</v>
      </c>
      <c r="N15" s="559">
        <f t="shared" si="11"/>
        <v>20436.274275260534</v>
      </c>
      <c r="O15" s="560">
        <f t="shared" si="12"/>
        <v>254875.65562210264</v>
      </c>
      <c r="P15" s="561"/>
      <c r="Q15" s="552"/>
    </row>
    <row r="16" spans="1:17" ht="12.75" customHeight="1" x14ac:dyDescent="0.25">
      <c r="A16" s="557" t="s">
        <v>155</v>
      </c>
      <c r="B16" s="558">
        <v>3.9687689066587866</v>
      </c>
      <c r="C16" s="559">
        <f t="shared" si="0"/>
        <v>28702.456218853331</v>
      </c>
      <c r="D16" s="559">
        <f t="shared" si="1"/>
        <v>37216.659130885106</v>
      </c>
      <c r="E16" s="559">
        <f t="shared" si="2"/>
        <v>29309.106358849564</v>
      </c>
      <c r="F16" s="559">
        <f t="shared" si="3"/>
        <v>25919.282608641857</v>
      </c>
      <c r="G16" s="559">
        <f t="shared" si="4"/>
        <v>28126.327896133753</v>
      </c>
      <c r="H16" s="559">
        <f t="shared" si="5"/>
        <v>25038.302232087324</v>
      </c>
      <c r="I16" s="559">
        <f t="shared" si="6"/>
        <v>26632.616233425753</v>
      </c>
      <c r="J16" s="559">
        <f t="shared" si="7"/>
        <v>25952.822674672032</v>
      </c>
      <c r="K16" s="559">
        <f t="shared" si="8"/>
        <v>25117.553586192167</v>
      </c>
      <c r="L16" s="559">
        <f t="shared" si="9"/>
        <v>25824.788205358764</v>
      </c>
      <c r="M16" s="559">
        <f t="shared" si="10"/>
        <v>24324.968607303425</v>
      </c>
      <c r="N16" s="559">
        <f t="shared" si="11"/>
        <v>26339.962190825423</v>
      </c>
      <c r="O16" s="560">
        <f t="shared" si="12"/>
        <v>328504.84594322852</v>
      </c>
      <c r="P16" s="561"/>
      <c r="Q16" s="552"/>
    </row>
    <row r="17" spans="1:16" ht="12.75" customHeight="1" x14ac:dyDescent="0.25">
      <c r="A17" s="557" t="s">
        <v>277</v>
      </c>
      <c r="B17" s="558">
        <v>2.5568285677800717</v>
      </c>
      <c r="C17" s="559">
        <f t="shared" si="0"/>
        <v>18491.190026885186</v>
      </c>
      <c r="D17" s="559">
        <f t="shared" si="1"/>
        <v>23976.3562709652</v>
      </c>
      <c r="E17" s="559">
        <f t="shared" si="2"/>
        <v>18882.016614441774</v>
      </c>
      <c r="F17" s="559">
        <f t="shared" si="3"/>
        <v>16698.166053193767</v>
      </c>
      <c r="G17" s="559">
        <f t="shared" si="4"/>
        <v>18120.026729429108</v>
      </c>
      <c r="H17" s="559">
        <f t="shared" si="5"/>
        <v>16130.605722167937</v>
      </c>
      <c r="I17" s="559">
        <f t="shared" si="6"/>
        <v>17157.722110273706</v>
      </c>
      <c r="J17" s="559">
        <f t="shared" si="7"/>
        <v>16719.773811420073</v>
      </c>
      <c r="K17" s="559">
        <f t="shared" si="8"/>
        <v>16181.662392630797</v>
      </c>
      <c r="L17" s="559">
        <f t="shared" si="9"/>
        <v>16637.289243409203</v>
      </c>
      <c r="M17" s="559">
        <f t="shared" si="10"/>
        <v>15671.049665087994</v>
      </c>
      <c r="N17" s="559">
        <f t="shared" si="11"/>
        <v>16969.183489307034</v>
      </c>
      <c r="O17" s="560">
        <f t="shared" si="12"/>
        <v>211635.0421292118</v>
      </c>
      <c r="P17" s="561"/>
    </row>
    <row r="18" spans="1:16" ht="12.75" customHeight="1" x14ac:dyDescent="0.25">
      <c r="A18" s="557" t="s">
        <v>278</v>
      </c>
      <c r="B18" s="558">
        <v>3.0448340829893383</v>
      </c>
      <c r="C18" s="559">
        <f t="shared" si="0"/>
        <v>22020.485197322578</v>
      </c>
      <c r="D18" s="559">
        <f t="shared" si="1"/>
        <v>28552.570039185164</v>
      </c>
      <c r="E18" s="559">
        <f t="shared" si="2"/>
        <v>22485.906355911997</v>
      </c>
      <c r="F18" s="559">
        <f t="shared" si="3"/>
        <v>19885.238205987247</v>
      </c>
      <c r="G18" s="559">
        <f t="shared" si="4"/>
        <v>21578.480335248387</v>
      </c>
      <c r="H18" s="559">
        <f t="shared" si="5"/>
        <v>19209.351264704917</v>
      </c>
      <c r="I18" s="559">
        <f t="shared" si="6"/>
        <v>20432.506788352974</v>
      </c>
      <c r="J18" s="559">
        <f t="shared" si="7"/>
        <v>19910.970098822589</v>
      </c>
      <c r="K18" s="559">
        <f t="shared" si="8"/>
        <v>19270.152795299611</v>
      </c>
      <c r="L18" s="559">
        <f t="shared" si="9"/>
        <v>19812.74222888831</v>
      </c>
      <c r="M18" s="559">
        <f t="shared" si="10"/>
        <v>18662.082682339187</v>
      </c>
      <c r="N18" s="559">
        <f t="shared" si="11"/>
        <v>20207.983006698909</v>
      </c>
      <c r="O18" s="560">
        <f t="shared" si="12"/>
        <v>252028.46899876185</v>
      </c>
      <c r="P18" s="561"/>
    </row>
    <row r="19" spans="1:16" ht="12.75" customHeight="1" x14ac:dyDescent="0.25">
      <c r="A19" s="557" t="s">
        <v>279</v>
      </c>
      <c r="B19" s="558">
        <v>6.4580166897572191</v>
      </c>
      <c r="C19" s="559">
        <f t="shared" si="0"/>
        <v>46704.896570667734</v>
      </c>
      <c r="D19" s="559">
        <f t="shared" si="1"/>
        <v>60559.284618716418</v>
      </c>
      <c r="E19" s="559">
        <f t="shared" si="2"/>
        <v>47692.043169797267</v>
      </c>
      <c r="F19" s="559">
        <f t="shared" si="3"/>
        <v>42176.091279162552</v>
      </c>
      <c r="G19" s="559">
        <f t="shared" si="4"/>
        <v>45767.41534889079</v>
      </c>
      <c r="H19" s="559">
        <f t="shared" si="5"/>
        <v>40742.552035899454</v>
      </c>
      <c r="I19" s="559">
        <f t="shared" si="6"/>
        <v>43336.834210425259</v>
      </c>
      <c r="J19" s="559">
        <f t="shared" si="7"/>
        <v>42230.66797820769</v>
      </c>
      <c r="K19" s="559">
        <f t="shared" si="8"/>
        <v>40871.510556673042</v>
      </c>
      <c r="L19" s="559">
        <f t="shared" si="9"/>
        <v>42022.329130787773</v>
      </c>
      <c r="M19" s="559">
        <f t="shared" si="10"/>
        <v>39581.809104636734</v>
      </c>
      <c r="N19" s="559">
        <f t="shared" si="11"/>
        <v>42860.62490323509</v>
      </c>
      <c r="O19" s="560">
        <f t="shared" si="12"/>
        <v>534546.05890709977</v>
      </c>
      <c r="P19" s="561"/>
    </row>
    <row r="20" spans="1:16" ht="12.75" customHeight="1" x14ac:dyDescent="0.25">
      <c r="A20" s="557" t="s">
        <v>159</v>
      </c>
      <c r="B20" s="558">
        <v>3.6739352083662298</v>
      </c>
      <c r="C20" s="559">
        <f t="shared" si="0"/>
        <v>26570.195178688849</v>
      </c>
      <c r="D20" s="559">
        <f t="shared" si="1"/>
        <v>34451.891136648323</v>
      </c>
      <c r="E20" s="559">
        <f t="shared" si="2"/>
        <v>27131.778218898875</v>
      </c>
      <c r="F20" s="559">
        <f t="shared" si="3"/>
        <v>23993.779227536874</v>
      </c>
      <c r="G20" s="559">
        <f t="shared" si="4"/>
        <v>26036.866537198759</v>
      </c>
      <c r="H20" s="559">
        <f t="shared" si="5"/>
        <v>23178.24551937035</v>
      </c>
      <c r="I20" s="559">
        <f t="shared" si="6"/>
        <v>24654.120401599183</v>
      </c>
      <c r="J20" s="559">
        <f t="shared" si="7"/>
        <v>24024.827653982775</v>
      </c>
      <c r="K20" s="559">
        <f t="shared" si="8"/>
        <v>23251.609413062411</v>
      </c>
      <c r="L20" s="559">
        <f t="shared" si="9"/>
        <v>23906.304667193275</v>
      </c>
      <c r="M20" s="559">
        <f t="shared" si="10"/>
        <v>22517.904345308034</v>
      </c>
      <c r="N20" s="559">
        <f t="shared" si="11"/>
        <v>24383.207174785672</v>
      </c>
      <c r="O20" s="560">
        <f t="shared" si="12"/>
        <v>304100.72947427334</v>
      </c>
      <c r="P20" s="561"/>
    </row>
    <row r="21" spans="1:16" ht="12.75" customHeight="1" x14ac:dyDescent="0.25">
      <c r="A21" s="557" t="s">
        <v>160</v>
      </c>
      <c r="B21" s="558">
        <v>21.979340072457017</v>
      </c>
      <c r="C21" s="559">
        <f t="shared" si="0"/>
        <v>158956.35674088498</v>
      </c>
      <c r="D21" s="559">
        <f t="shared" si="1"/>
        <v>206108.65148283207</v>
      </c>
      <c r="E21" s="559">
        <f t="shared" si="2"/>
        <v>162316.03074700048</v>
      </c>
      <c r="F21" s="559">
        <f t="shared" si="3"/>
        <v>143542.93240244815</v>
      </c>
      <c r="G21" s="559">
        <f t="shared" si="4"/>
        <v>155765.71484959673</v>
      </c>
      <c r="H21" s="559">
        <f t="shared" si="5"/>
        <v>138663.99695700925</v>
      </c>
      <c r="I21" s="559">
        <f t="shared" si="6"/>
        <v>147493.42755421629</v>
      </c>
      <c r="J21" s="559">
        <f t="shared" si="7"/>
        <v>143728.67980540049</v>
      </c>
      <c r="K21" s="559">
        <f t="shared" si="8"/>
        <v>139102.89690408114</v>
      </c>
      <c r="L21" s="559">
        <f t="shared" si="9"/>
        <v>143019.61530499297</v>
      </c>
      <c r="M21" s="559">
        <f t="shared" si="10"/>
        <v>134713.50180524107</v>
      </c>
      <c r="N21" s="559">
        <f t="shared" si="11"/>
        <v>145872.68750177842</v>
      </c>
      <c r="O21" s="560">
        <f t="shared" si="12"/>
        <v>1819284.4920554818</v>
      </c>
      <c r="P21" s="561"/>
    </row>
    <row r="22" spans="1:16" ht="12.75" customHeight="1" x14ac:dyDescent="0.25">
      <c r="A22" s="557" t="s">
        <v>161</v>
      </c>
      <c r="B22" s="558">
        <v>3.7144952969630278</v>
      </c>
      <c r="C22" s="559">
        <f t="shared" si="0"/>
        <v>26863.529004508026</v>
      </c>
      <c r="D22" s="559">
        <f t="shared" si="1"/>
        <v>34832.23855095428</v>
      </c>
      <c r="E22" s="559">
        <f t="shared" si="2"/>
        <v>27431.311897620606</v>
      </c>
      <c r="F22" s="559">
        <f t="shared" si="3"/>
        <v>24258.669530725885</v>
      </c>
      <c r="G22" s="559">
        <f t="shared" si="4"/>
        <v>26324.312437476736</v>
      </c>
      <c r="H22" s="559">
        <f t="shared" si="5"/>
        <v>23434.132365072797</v>
      </c>
      <c r="I22" s="559">
        <f t="shared" si="6"/>
        <v>24926.300843292298</v>
      </c>
      <c r="J22" s="559">
        <f t="shared" si="7"/>
        <v>24290.06073048052</v>
      </c>
      <c r="K22" s="559">
        <f t="shared" si="8"/>
        <v>23508.30619303403</v>
      </c>
      <c r="L22" s="559">
        <f t="shared" si="9"/>
        <v>24170.229254952843</v>
      </c>
      <c r="M22" s="559">
        <f t="shared" si="10"/>
        <v>22766.501052506381</v>
      </c>
      <c r="N22" s="559">
        <f t="shared" si="11"/>
        <v>24652.396745965721</v>
      </c>
      <c r="O22" s="560">
        <f t="shared" si="12"/>
        <v>307457.98860659008</v>
      </c>
      <c r="P22" s="561"/>
    </row>
    <row r="23" spans="1:16" ht="12.75" customHeight="1" thickBot="1" x14ac:dyDescent="0.3">
      <c r="A23" s="557" t="s">
        <v>162</v>
      </c>
      <c r="B23" s="558">
        <v>5.0303764450364916</v>
      </c>
      <c r="C23" s="559">
        <f t="shared" si="0"/>
        <v>36380.087395807735</v>
      </c>
      <c r="D23" s="559">
        <f t="shared" si="1"/>
        <v>47171.757756126848</v>
      </c>
      <c r="E23" s="559">
        <f t="shared" si="2"/>
        <v>37149.010617690234</v>
      </c>
      <c r="F23" s="559">
        <f t="shared" si="3"/>
        <v>32852.441594167554</v>
      </c>
      <c r="G23" s="559">
        <f t="shared" si="4"/>
        <v>35649.850283975786</v>
      </c>
      <c r="H23" s="559">
        <f t="shared" si="5"/>
        <v>31735.807434057129</v>
      </c>
      <c r="I23" s="559">
        <f t="shared" si="6"/>
        <v>33756.585107674953</v>
      </c>
      <c r="J23" s="559">
        <f t="shared" si="7"/>
        <v>32894.953305504554</v>
      </c>
      <c r="K23" s="559">
        <f t="shared" si="8"/>
        <v>31836.257763693946</v>
      </c>
      <c r="L23" s="559">
        <f t="shared" si="9"/>
        <v>32732.670846199449</v>
      </c>
      <c r="M23" s="559">
        <f t="shared" si="10"/>
        <v>30831.663920549719</v>
      </c>
      <c r="N23" s="559">
        <f t="shared" si="11"/>
        <v>33385.648921400309</v>
      </c>
      <c r="O23" s="560">
        <f t="shared" si="12"/>
        <v>416376.73494684818</v>
      </c>
      <c r="P23" s="561"/>
    </row>
    <row r="24" spans="1:16" ht="15.75" thickBot="1" x14ac:dyDescent="0.3">
      <c r="A24" s="562" t="s">
        <v>280</v>
      </c>
      <c r="B24" s="567">
        <f>SUM(B4:B23)</f>
        <v>100</v>
      </c>
      <c r="C24" s="564">
        <f>SUM(C4:C23)</f>
        <v>723208.05000000016</v>
      </c>
      <c r="D24" s="564">
        <f t="shared" ref="D24:N24" si="13">SUM(D4:D23)</f>
        <v>937738.125</v>
      </c>
      <c r="E24" s="564">
        <f t="shared" si="13"/>
        <v>738493.65</v>
      </c>
      <c r="F24" s="564">
        <f t="shared" si="13"/>
        <v>653081.17500000005</v>
      </c>
      <c r="G24" s="564">
        <f t="shared" si="13"/>
        <v>708691.50000000012</v>
      </c>
      <c r="H24" s="564">
        <f t="shared" si="13"/>
        <v>630883.35</v>
      </c>
      <c r="I24" s="564">
        <f t="shared" si="13"/>
        <v>671054.84999999986</v>
      </c>
      <c r="J24" s="564">
        <f t="shared" si="13"/>
        <v>653926.27500000002</v>
      </c>
      <c r="K24" s="564">
        <f t="shared" si="13"/>
        <v>632880.22499999998</v>
      </c>
      <c r="L24" s="564">
        <f t="shared" si="13"/>
        <v>650700.22500000009</v>
      </c>
      <c r="M24" s="564">
        <f t="shared" si="13"/>
        <v>612909.67500000005</v>
      </c>
      <c r="N24" s="564">
        <f t="shared" si="13"/>
        <v>663680.92500000016</v>
      </c>
      <c r="O24" s="564">
        <f>SUM(C24:N24)</f>
        <v>8277248.0249999985</v>
      </c>
      <c r="P24" s="552"/>
    </row>
    <row r="25" spans="1:16" x14ac:dyDescent="0.25">
      <c r="A25" s="565"/>
      <c r="B25" s="565"/>
      <c r="C25" s="565"/>
      <c r="D25" s="565"/>
      <c r="E25" s="565"/>
      <c r="F25" s="565"/>
      <c r="G25" s="565"/>
      <c r="H25" s="565"/>
      <c r="I25" s="565"/>
      <c r="J25" s="565"/>
      <c r="K25" s="565"/>
      <c r="L25" s="565"/>
      <c r="M25" s="565"/>
      <c r="N25" s="565"/>
      <c r="O25" s="565"/>
      <c r="P25" s="552"/>
    </row>
    <row r="26" spans="1:16" x14ac:dyDescent="0.25">
      <c r="A26" s="566" t="s">
        <v>281</v>
      </c>
      <c r="B26" s="552"/>
      <c r="C26" s="552"/>
      <c r="D26" s="552"/>
      <c r="E26" s="552"/>
      <c r="F26" s="552"/>
      <c r="G26" s="552"/>
      <c r="H26" s="552"/>
      <c r="I26" s="552"/>
      <c r="J26" s="552"/>
      <c r="K26" s="552"/>
      <c r="L26" s="552"/>
      <c r="M26" s="552"/>
      <c r="N26" s="552"/>
      <c r="O26" s="561"/>
      <c r="P26" s="552"/>
    </row>
    <row r="29" spans="1:16" hidden="1" x14ac:dyDescent="0.25">
      <c r="A29" s="552" t="s">
        <v>306</v>
      </c>
      <c r="B29" s="552"/>
      <c r="C29" s="561">
        <v>723208.05</v>
      </c>
      <c r="D29" s="561">
        <v>937738.125</v>
      </c>
      <c r="E29" s="561">
        <v>738493.65</v>
      </c>
      <c r="F29" s="561">
        <v>653081.17500000005</v>
      </c>
      <c r="G29" s="561">
        <v>708691.5</v>
      </c>
      <c r="H29" s="561">
        <v>630883.35</v>
      </c>
      <c r="I29" s="561">
        <v>671054.84999999986</v>
      </c>
      <c r="J29" s="561">
        <v>653926.27500000002</v>
      </c>
      <c r="K29" s="561">
        <v>632880.22499999998</v>
      </c>
      <c r="L29" s="561">
        <v>650700.22499999998</v>
      </c>
      <c r="M29" s="561">
        <v>612909.67500000005</v>
      </c>
      <c r="N29" s="561">
        <v>663680.92500000005</v>
      </c>
      <c r="O29" s="561">
        <f>SUM(C29:N29)</f>
        <v>8277248.0249999985</v>
      </c>
      <c r="P29" s="552"/>
    </row>
    <row r="30" spans="1:16" x14ac:dyDescent="0.25">
      <c r="A30" s="552"/>
      <c r="B30" s="552"/>
      <c r="C30" s="552"/>
      <c r="D30" s="552"/>
      <c r="E30" s="552"/>
      <c r="F30" s="552"/>
      <c r="G30" s="552"/>
      <c r="H30" s="552"/>
      <c r="I30" s="552"/>
      <c r="J30" s="552"/>
      <c r="K30" s="552"/>
      <c r="L30" s="552"/>
      <c r="M30" s="552"/>
      <c r="N30" s="552"/>
      <c r="O30" s="552"/>
      <c r="P30" s="552"/>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rgb="FFFFFF00"/>
    <pageSetUpPr fitToPage="1"/>
  </sheetPr>
  <dimension ref="A1:S29"/>
  <sheetViews>
    <sheetView topLeftCell="A4" zoomScaleNormal="100" workbookViewId="0">
      <selection activeCell="Q26" sqref="Q26"/>
    </sheetView>
  </sheetViews>
  <sheetFormatPr baseColWidth="10" defaultRowHeight="15" x14ac:dyDescent="0.25"/>
  <cols>
    <col min="1" max="1" width="3.7109375" customWidth="1"/>
    <col min="2" max="2" width="18.5703125" customWidth="1"/>
    <col min="3" max="14" width="13.28515625" customWidth="1"/>
    <col min="15" max="15" width="14.28515625" customWidth="1"/>
  </cols>
  <sheetData>
    <row r="1" spans="1:19" x14ac:dyDescent="0.25">
      <c r="A1" s="1220" t="s">
        <v>447</v>
      </c>
      <c r="B1" s="1220"/>
      <c r="C1" s="1220"/>
      <c r="D1" s="1220"/>
      <c r="E1" s="1220"/>
      <c r="F1" s="1220"/>
      <c r="G1" s="1220"/>
      <c r="H1" s="1220"/>
      <c r="I1" s="1220"/>
      <c r="J1" s="1220"/>
      <c r="K1" s="1220"/>
      <c r="L1" s="1220"/>
      <c r="M1" s="1220"/>
      <c r="N1" s="1220"/>
      <c r="O1" s="1220"/>
    </row>
    <row r="2" spans="1:19" x14ac:dyDescent="0.25">
      <c r="A2" s="1220"/>
      <c r="B2" s="1220"/>
      <c r="C2" s="1220"/>
      <c r="D2" s="1220"/>
      <c r="E2" s="1220"/>
      <c r="F2" s="1220"/>
      <c r="G2" s="1220"/>
      <c r="H2" s="1220"/>
      <c r="I2" s="1220"/>
      <c r="J2" s="1220"/>
      <c r="K2" s="1220"/>
      <c r="L2" s="1220"/>
      <c r="M2" s="1220"/>
      <c r="N2" s="1220"/>
      <c r="O2" s="1220"/>
    </row>
    <row r="4" spans="1:19" x14ac:dyDescent="0.25">
      <c r="A4" s="798" t="s">
        <v>368</v>
      </c>
      <c r="B4" s="1221" t="s">
        <v>307</v>
      </c>
      <c r="C4" s="1218" t="s">
        <v>1</v>
      </c>
      <c r="D4" s="1218" t="s">
        <v>2</v>
      </c>
      <c r="E4" s="1218" t="s">
        <v>3</v>
      </c>
      <c r="F4" s="1218" t="s">
        <v>4</v>
      </c>
      <c r="G4" s="1218" t="s">
        <v>5</v>
      </c>
      <c r="H4" s="1218" t="s">
        <v>6</v>
      </c>
      <c r="I4" s="1218" t="s">
        <v>7</v>
      </c>
      <c r="J4" s="1218" t="s">
        <v>8</v>
      </c>
      <c r="K4" s="1218" t="s">
        <v>9</v>
      </c>
      <c r="L4" s="1218" t="s">
        <v>10</v>
      </c>
      <c r="M4" s="1218" t="s">
        <v>11</v>
      </c>
      <c r="N4" s="1218" t="s">
        <v>12</v>
      </c>
      <c r="O4" s="1218" t="s">
        <v>165</v>
      </c>
      <c r="Q4" s="1219" t="s">
        <v>369</v>
      </c>
    </row>
    <row r="5" spans="1:19" x14ac:dyDescent="0.25">
      <c r="A5" s="799" t="s">
        <v>370</v>
      </c>
      <c r="B5" s="1222"/>
      <c r="C5" s="1218"/>
      <c r="D5" s="1218"/>
      <c r="E5" s="1218"/>
      <c r="F5" s="1218"/>
      <c r="G5" s="1218"/>
      <c r="H5" s="1218"/>
      <c r="I5" s="1218"/>
      <c r="J5" s="1218"/>
      <c r="K5" s="1218"/>
      <c r="L5" s="1218"/>
      <c r="M5" s="1218"/>
      <c r="N5" s="1218"/>
      <c r="O5" s="1218"/>
      <c r="Q5" s="1219"/>
    </row>
    <row r="6" spans="1:19" x14ac:dyDescent="0.25">
      <c r="A6" s="800" t="s">
        <v>371</v>
      </c>
      <c r="B6" s="1223"/>
      <c r="C6" s="1218"/>
      <c r="D6" s="1218"/>
      <c r="E6" s="1218"/>
      <c r="F6" s="1218"/>
      <c r="G6" s="1218"/>
      <c r="H6" s="1218"/>
      <c r="I6" s="1218"/>
      <c r="J6" s="1218"/>
      <c r="K6" s="1218"/>
      <c r="L6" s="1218"/>
      <c r="M6" s="1218"/>
      <c r="N6" s="1218"/>
      <c r="O6" s="1218"/>
      <c r="Q6" s="1219"/>
    </row>
    <row r="7" spans="1:19" ht="24.95" customHeight="1" x14ac:dyDescent="0.25">
      <c r="A7" s="801">
        <v>1</v>
      </c>
      <c r="B7" s="802" t="s">
        <v>274</v>
      </c>
      <c r="C7" s="803">
        <v>0</v>
      </c>
      <c r="D7" s="803">
        <v>0</v>
      </c>
      <c r="E7" s="803">
        <v>0</v>
      </c>
      <c r="F7" s="803">
        <v>138135</v>
      </c>
      <c r="G7" s="803">
        <v>0</v>
      </c>
      <c r="H7" s="804">
        <v>190877</v>
      </c>
      <c r="I7" s="803">
        <v>0</v>
      </c>
      <c r="J7" s="803">
        <v>-20574</v>
      </c>
      <c r="K7" s="803">
        <v>0</v>
      </c>
      <c r="L7" s="803">
        <v>0</v>
      </c>
      <c r="M7" s="803">
        <v>0</v>
      </c>
      <c r="N7" s="803">
        <v>0</v>
      </c>
      <c r="O7" s="803">
        <f>SUM(C7:N7)</f>
        <v>308438</v>
      </c>
      <c r="Q7" s="103">
        <f>O7/$O$27*100</f>
        <v>0.14937893214050901</v>
      </c>
      <c r="R7" s="103">
        <f>ROUND(Q7,6)</f>
        <v>0.14937900000000001</v>
      </c>
      <c r="S7" s="103">
        <v>2.9638460000000002</v>
      </c>
    </row>
    <row r="8" spans="1:19" ht="24.95" customHeight="1" x14ac:dyDescent="0.25">
      <c r="A8" s="801">
        <v>2</v>
      </c>
      <c r="B8" s="802" t="s">
        <v>144</v>
      </c>
      <c r="C8" s="803">
        <v>195462</v>
      </c>
      <c r="D8" s="803">
        <v>823702</v>
      </c>
      <c r="E8" s="803">
        <v>662914</v>
      </c>
      <c r="F8" s="803">
        <v>215000</v>
      </c>
      <c r="G8" s="803">
        <v>194593</v>
      </c>
      <c r="H8" s="804">
        <v>100536</v>
      </c>
      <c r="I8" s="803">
        <v>94655</v>
      </c>
      <c r="J8" s="803">
        <v>321847</v>
      </c>
      <c r="K8" s="803">
        <v>0</v>
      </c>
      <c r="L8" s="803">
        <v>209488</v>
      </c>
      <c r="M8" s="803">
        <v>231310</v>
      </c>
      <c r="N8" s="803">
        <v>0</v>
      </c>
      <c r="O8" s="803">
        <f t="shared" ref="O8:O26" si="0">SUM(C8:N8)</f>
        <v>3049507</v>
      </c>
      <c r="Q8" s="103">
        <f t="shared" ref="Q8:Q26" si="1">O8/$O$27*100</f>
        <v>1.476900055165081</v>
      </c>
      <c r="R8" s="103">
        <f t="shared" ref="R8:R26" si="2">ROUND(Q8,6)</f>
        <v>1.4769000000000001</v>
      </c>
      <c r="S8" s="103">
        <v>1.266861</v>
      </c>
    </row>
    <row r="9" spans="1:19" ht="24.95" customHeight="1" x14ac:dyDescent="0.25">
      <c r="A9" s="801">
        <v>3</v>
      </c>
      <c r="B9" s="802" t="s">
        <v>145</v>
      </c>
      <c r="C9" s="803">
        <v>291088</v>
      </c>
      <c r="D9" s="803">
        <v>893523</v>
      </c>
      <c r="E9" s="803">
        <v>411052</v>
      </c>
      <c r="F9" s="803">
        <v>8962</v>
      </c>
      <c r="G9" s="803">
        <v>202772</v>
      </c>
      <c r="H9" s="804">
        <v>240821</v>
      </c>
      <c r="I9" s="803">
        <v>472102</v>
      </c>
      <c r="J9" s="803">
        <v>177413</v>
      </c>
      <c r="K9" s="803">
        <v>213269</v>
      </c>
      <c r="L9" s="803">
        <v>7264</v>
      </c>
      <c r="M9" s="803">
        <v>181454</v>
      </c>
      <c r="N9" s="803">
        <v>0</v>
      </c>
      <c r="O9" s="803">
        <f t="shared" si="0"/>
        <v>3099720</v>
      </c>
      <c r="Q9" s="103">
        <f t="shared" si="1"/>
        <v>1.5012186032025194</v>
      </c>
      <c r="R9" s="103">
        <f t="shared" si="2"/>
        <v>1.5012190000000001</v>
      </c>
      <c r="S9" s="103">
        <v>1.6314690000000001</v>
      </c>
    </row>
    <row r="10" spans="1:19" ht="24.95" customHeight="1" x14ac:dyDescent="0.25">
      <c r="A10" s="801">
        <v>4</v>
      </c>
      <c r="B10" s="802" t="s">
        <v>372</v>
      </c>
      <c r="C10" s="803">
        <v>4309572</v>
      </c>
      <c r="D10" s="803">
        <v>7788696</v>
      </c>
      <c r="E10" s="803">
        <v>3155226</v>
      </c>
      <c r="F10" s="803">
        <v>6749804</v>
      </c>
      <c r="G10" s="803">
        <v>4480980</v>
      </c>
      <c r="H10" s="804">
        <v>684680</v>
      </c>
      <c r="I10" s="803">
        <v>7122408</v>
      </c>
      <c r="J10" s="803">
        <v>350726</v>
      </c>
      <c r="K10" s="803">
        <v>7052655</v>
      </c>
      <c r="L10" s="803">
        <v>1011170</v>
      </c>
      <c r="M10" s="803">
        <v>4221386</v>
      </c>
      <c r="N10" s="803">
        <v>0</v>
      </c>
      <c r="O10" s="803">
        <f t="shared" si="0"/>
        <v>46927303</v>
      </c>
      <c r="Q10" s="103">
        <f t="shared" si="1"/>
        <v>22.727259320752001</v>
      </c>
      <c r="R10" s="103">
        <f t="shared" si="2"/>
        <v>22.727259</v>
      </c>
      <c r="S10" s="103">
        <v>17.919436999999999</v>
      </c>
    </row>
    <row r="11" spans="1:19" ht="24.95" customHeight="1" x14ac:dyDescent="0.25">
      <c r="A11" s="801">
        <v>5</v>
      </c>
      <c r="B11" s="802" t="s">
        <v>147</v>
      </c>
      <c r="C11" s="803">
        <v>1253589</v>
      </c>
      <c r="D11" s="803">
        <v>1547485</v>
      </c>
      <c r="E11" s="803">
        <v>2432650</v>
      </c>
      <c r="F11" s="803">
        <v>1125487</v>
      </c>
      <c r="G11" s="803">
        <v>1074333</v>
      </c>
      <c r="H11" s="804">
        <v>72784</v>
      </c>
      <c r="I11" s="803">
        <v>2431107</v>
      </c>
      <c r="J11" s="803">
        <v>981728</v>
      </c>
      <c r="K11" s="803">
        <v>1190240</v>
      </c>
      <c r="L11" s="803">
        <v>1011848</v>
      </c>
      <c r="M11" s="803">
        <v>1042588</v>
      </c>
      <c r="N11" s="803">
        <v>0</v>
      </c>
      <c r="O11" s="803">
        <f t="shared" si="0"/>
        <v>14163839</v>
      </c>
      <c r="Q11" s="103">
        <f t="shared" si="1"/>
        <v>6.8596578399227575</v>
      </c>
      <c r="R11" s="103">
        <f t="shared" si="2"/>
        <v>6.8596579999999996</v>
      </c>
      <c r="S11" s="103">
        <v>6.5850530000000003</v>
      </c>
    </row>
    <row r="12" spans="1:19" ht="24.95" customHeight="1" x14ac:dyDescent="0.25">
      <c r="A12" s="801">
        <v>6</v>
      </c>
      <c r="B12" s="802" t="s">
        <v>276</v>
      </c>
      <c r="C12" s="803">
        <v>1730787</v>
      </c>
      <c r="D12" s="803">
        <v>358581</v>
      </c>
      <c r="E12" s="803">
        <v>364171</v>
      </c>
      <c r="F12" s="803">
        <v>363300</v>
      </c>
      <c r="G12" s="803">
        <v>444067</v>
      </c>
      <c r="H12" s="804">
        <v>422075</v>
      </c>
      <c r="I12" s="803">
        <v>17632</v>
      </c>
      <c r="J12" s="803">
        <v>892786</v>
      </c>
      <c r="K12" s="803">
        <v>436902</v>
      </c>
      <c r="L12" s="803">
        <v>440050</v>
      </c>
      <c r="M12" s="803">
        <v>415790</v>
      </c>
      <c r="N12" s="803">
        <v>0</v>
      </c>
      <c r="O12" s="803">
        <f t="shared" si="0"/>
        <v>5886141</v>
      </c>
      <c r="Q12" s="103">
        <f t="shared" si="1"/>
        <v>2.8507040540026454</v>
      </c>
      <c r="R12" s="103">
        <f t="shared" si="2"/>
        <v>2.8507039999999999</v>
      </c>
      <c r="S12" s="103">
        <v>2.7186210000000002</v>
      </c>
    </row>
    <row r="13" spans="1:19" ht="24.95" customHeight="1" x14ac:dyDescent="0.25">
      <c r="A13" s="801">
        <v>7</v>
      </c>
      <c r="B13" s="802" t="s">
        <v>149</v>
      </c>
      <c r="C13" s="803">
        <v>362677</v>
      </c>
      <c r="D13" s="803">
        <v>403</v>
      </c>
      <c r="E13" s="803">
        <v>1096483</v>
      </c>
      <c r="F13" s="803">
        <v>192615</v>
      </c>
      <c r="G13" s="803">
        <v>184342</v>
      </c>
      <c r="H13" s="804">
        <v>0</v>
      </c>
      <c r="I13" s="803">
        <v>118520</v>
      </c>
      <c r="J13" s="803">
        <v>-2451</v>
      </c>
      <c r="K13" s="803">
        <v>0</v>
      </c>
      <c r="L13" s="803">
        <v>0</v>
      </c>
      <c r="M13" s="803">
        <v>0</v>
      </c>
      <c r="N13" s="803">
        <v>0</v>
      </c>
      <c r="O13" s="803">
        <f t="shared" si="0"/>
        <v>1952589</v>
      </c>
      <c r="Q13" s="103">
        <f t="shared" si="1"/>
        <v>0.94565410140548312</v>
      </c>
      <c r="R13" s="103">
        <f t="shared" si="2"/>
        <v>0.94565399999999999</v>
      </c>
      <c r="S13" s="103">
        <v>1.1820850000000001</v>
      </c>
    </row>
    <row r="14" spans="1:19" ht="24.95" customHeight="1" x14ac:dyDescent="0.25">
      <c r="A14" s="801">
        <v>8</v>
      </c>
      <c r="B14" s="802" t="s">
        <v>150</v>
      </c>
      <c r="C14" s="803">
        <v>1638307</v>
      </c>
      <c r="D14" s="803">
        <v>36564</v>
      </c>
      <c r="E14" s="803">
        <v>857907</v>
      </c>
      <c r="F14" s="803">
        <v>419146</v>
      </c>
      <c r="G14" s="803">
        <v>453864</v>
      </c>
      <c r="H14" s="804">
        <v>628036</v>
      </c>
      <c r="I14" s="803">
        <v>494682</v>
      </c>
      <c r="J14" s="803">
        <v>40920</v>
      </c>
      <c r="K14" s="803">
        <v>400163</v>
      </c>
      <c r="L14" s="803">
        <v>1031807</v>
      </c>
      <c r="M14" s="803">
        <v>576997</v>
      </c>
      <c r="N14" s="803">
        <v>0</v>
      </c>
      <c r="O14" s="803">
        <f t="shared" si="0"/>
        <v>6578393</v>
      </c>
      <c r="Q14" s="103">
        <f t="shared" si="1"/>
        <v>3.1859671037310564</v>
      </c>
      <c r="R14" s="103">
        <f t="shared" si="2"/>
        <v>3.1859670000000002</v>
      </c>
      <c r="S14" s="103">
        <v>2.4453510000000001</v>
      </c>
    </row>
    <row r="15" spans="1:19" ht="24.95" customHeight="1" x14ac:dyDescent="0.25">
      <c r="A15" s="801">
        <v>9</v>
      </c>
      <c r="B15" s="802" t="s">
        <v>151</v>
      </c>
      <c r="C15" s="803">
        <v>1018811</v>
      </c>
      <c r="D15" s="803">
        <v>491218</v>
      </c>
      <c r="E15" s="803">
        <v>342558</v>
      </c>
      <c r="F15" s="803">
        <v>351986</v>
      </c>
      <c r="G15" s="803">
        <v>338581</v>
      </c>
      <c r="H15" s="804">
        <v>0</v>
      </c>
      <c r="I15" s="803">
        <v>538801</v>
      </c>
      <c r="J15" s="803">
        <v>314448</v>
      </c>
      <c r="K15" s="803">
        <v>349161</v>
      </c>
      <c r="L15" s="803">
        <v>355396</v>
      </c>
      <c r="M15" s="803">
        <v>400777</v>
      </c>
      <c r="N15" s="803">
        <v>0</v>
      </c>
      <c r="O15" s="803">
        <f t="shared" si="0"/>
        <v>4501737</v>
      </c>
      <c r="Q15" s="103">
        <f t="shared" si="1"/>
        <v>2.1802263853267712</v>
      </c>
      <c r="R15" s="103">
        <f t="shared" si="2"/>
        <v>2.1802260000000002</v>
      </c>
      <c r="S15" s="103">
        <v>2.817634</v>
      </c>
    </row>
    <row r="16" spans="1:19" ht="24.95" customHeight="1" x14ac:dyDescent="0.25">
      <c r="A16" s="801">
        <v>10</v>
      </c>
      <c r="B16" s="802" t="s">
        <v>152</v>
      </c>
      <c r="C16" s="803">
        <v>83755</v>
      </c>
      <c r="D16" s="803">
        <v>22045</v>
      </c>
      <c r="E16" s="803">
        <v>1118538</v>
      </c>
      <c r="F16" s="803">
        <v>17632</v>
      </c>
      <c r="G16" s="803">
        <v>19199</v>
      </c>
      <c r="H16" s="804">
        <v>19199</v>
      </c>
      <c r="I16" s="803">
        <v>19198</v>
      </c>
      <c r="J16" s="803">
        <v>1298583</v>
      </c>
      <c r="K16" s="803">
        <v>47501</v>
      </c>
      <c r="L16" s="803">
        <v>19199</v>
      </c>
      <c r="M16" s="803">
        <v>1142619</v>
      </c>
      <c r="N16" s="803">
        <v>0</v>
      </c>
      <c r="O16" s="803">
        <f t="shared" si="0"/>
        <v>3807468</v>
      </c>
      <c r="Q16" s="103">
        <f t="shared" si="1"/>
        <v>1.8439864867466385</v>
      </c>
      <c r="R16" s="103">
        <f t="shared" si="2"/>
        <v>1.8439859999999999</v>
      </c>
      <c r="S16" s="103">
        <v>1.9450210000000001</v>
      </c>
    </row>
    <row r="17" spans="1:19" ht="24.95" customHeight="1" x14ac:dyDescent="0.25">
      <c r="A17" s="801">
        <v>11</v>
      </c>
      <c r="B17" s="802" t="s">
        <v>153</v>
      </c>
      <c r="C17" s="803">
        <v>67023</v>
      </c>
      <c r="D17" s="803">
        <v>62597</v>
      </c>
      <c r="E17" s="803">
        <v>315812</v>
      </c>
      <c r="F17" s="803">
        <v>6129</v>
      </c>
      <c r="G17" s="803">
        <v>25362</v>
      </c>
      <c r="H17" s="804">
        <v>2923245</v>
      </c>
      <c r="I17" s="803">
        <v>2658926</v>
      </c>
      <c r="J17" s="803">
        <v>1979358</v>
      </c>
      <c r="K17" s="803">
        <v>1386392</v>
      </c>
      <c r="L17" s="803">
        <v>41522</v>
      </c>
      <c r="M17" s="803">
        <v>85796</v>
      </c>
      <c r="N17" s="803">
        <v>0</v>
      </c>
      <c r="O17" s="803">
        <f t="shared" si="0"/>
        <v>9552162</v>
      </c>
      <c r="Q17" s="103">
        <f t="shared" si="1"/>
        <v>4.6261866540217129</v>
      </c>
      <c r="R17" s="103">
        <f t="shared" si="2"/>
        <v>4.6261869999999998</v>
      </c>
      <c r="S17" s="103">
        <v>1.6365620000000001</v>
      </c>
    </row>
    <row r="18" spans="1:19" ht="24.95" customHeight="1" x14ac:dyDescent="0.25">
      <c r="A18" s="801">
        <v>12</v>
      </c>
      <c r="B18" s="802" t="s">
        <v>154</v>
      </c>
      <c r="C18" s="803">
        <v>487667</v>
      </c>
      <c r="D18" s="803">
        <v>38460</v>
      </c>
      <c r="E18" s="803">
        <v>116019</v>
      </c>
      <c r="F18" s="803">
        <v>66819</v>
      </c>
      <c r="G18" s="803">
        <v>41387</v>
      </c>
      <c r="H18" s="804">
        <v>37035</v>
      </c>
      <c r="I18" s="803">
        <v>26559</v>
      </c>
      <c r="J18" s="803">
        <v>-95595</v>
      </c>
      <c r="K18" s="803">
        <v>0</v>
      </c>
      <c r="L18" s="803">
        <v>0</v>
      </c>
      <c r="M18" s="803">
        <v>0</v>
      </c>
      <c r="N18" s="803">
        <v>0</v>
      </c>
      <c r="O18" s="803">
        <f t="shared" si="0"/>
        <v>718351</v>
      </c>
      <c r="Q18" s="103">
        <f t="shared" si="1"/>
        <v>0.34790299924803952</v>
      </c>
      <c r="R18" s="103">
        <f t="shared" si="2"/>
        <v>0.34790300000000002</v>
      </c>
      <c r="S18" s="103">
        <v>1.766969</v>
      </c>
    </row>
    <row r="19" spans="1:19" ht="24.95" customHeight="1" x14ac:dyDescent="0.25">
      <c r="A19" s="801">
        <v>13</v>
      </c>
      <c r="B19" s="805" t="s">
        <v>155</v>
      </c>
      <c r="C19" s="803">
        <v>190091</v>
      </c>
      <c r="D19" s="803">
        <v>3032493</v>
      </c>
      <c r="E19" s="803">
        <v>881489</v>
      </c>
      <c r="F19" s="803">
        <v>872278</v>
      </c>
      <c r="G19" s="803">
        <v>907830</v>
      </c>
      <c r="H19" s="804">
        <v>280881</v>
      </c>
      <c r="I19" s="803">
        <v>1712850</v>
      </c>
      <c r="J19" s="803">
        <v>16429</v>
      </c>
      <c r="K19" s="803">
        <v>1012129</v>
      </c>
      <c r="L19" s="803">
        <v>1964591</v>
      </c>
      <c r="M19" s="803">
        <v>1020336</v>
      </c>
      <c r="N19" s="803">
        <v>0</v>
      </c>
      <c r="O19" s="803">
        <f t="shared" si="0"/>
        <v>11891397</v>
      </c>
      <c r="Q19" s="103">
        <f t="shared" si="1"/>
        <v>5.7590964327315461</v>
      </c>
      <c r="R19" s="103">
        <f t="shared" si="2"/>
        <v>5.7590960000000004</v>
      </c>
      <c r="S19" s="103">
        <v>6.2361259999999996</v>
      </c>
    </row>
    <row r="20" spans="1:19" ht="24.95" customHeight="1" x14ac:dyDescent="0.25">
      <c r="A20" s="801">
        <v>14</v>
      </c>
      <c r="B20" s="802" t="s">
        <v>373</v>
      </c>
      <c r="C20" s="803">
        <v>226673</v>
      </c>
      <c r="D20" s="803">
        <v>159395</v>
      </c>
      <c r="E20" s="803">
        <v>166686</v>
      </c>
      <c r="F20" s="803">
        <v>11072</v>
      </c>
      <c r="G20" s="803">
        <v>176928</v>
      </c>
      <c r="H20" s="804">
        <v>219022</v>
      </c>
      <c r="I20" s="803">
        <v>201216</v>
      </c>
      <c r="J20" s="803">
        <v>152159</v>
      </c>
      <c r="K20" s="803">
        <v>175079</v>
      </c>
      <c r="L20" s="803">
        <v>163201</v>
      </c>
      <c r="M20" s="803">
        <v>286723</v>
      </c>
      <c r="N20" s="803">
        <v>0</v>
      </c>
      <c r="O20" s="803">
        <f t="shared" si="0"/>
        <v>1938154</v>
      </c>
      <c r="Q20" s="103">
        <f t="shared" si="1"/>
        <v>0.93866311817563386</v>
      </c>
      <c r="R20" s="103">
        <f t="shared" si="2"/>
        <v>0.93866300000000003</v>
      </c>
      <c r="S20" s="103">
        <v>1.103656</v>
      </c>
    </row>
    <row r="21" spans="1:19" ht="24.95" customHeight="1" x14ac:dyDescent="0.25">
      <c r="A21" s="801">
        <v>15</v>
      </c>
      <c r="B21" s="802" t="s">
        <v>374</v>
      </c>
      <c r="C21" s="803">
        <v>387381</v>
      </c>
      <c r="D21" s="803">
        <v>1854675</v>
      </c>
      <c r="E21" s="803">
        <v>424905</v>
      </c>
      <c r="F21" s="803">
        <v>398842</v>
      </c>
      <c r="G21" s="803">
        <v>290937</v>
      </c>
      <c r="H21" s="804">
        <v>426435</v>
      </c>
      <c r="I21" s="803">
        <v>345655</v>
      </c>
      <c r="J21" s="803">
        <v>222392</v>
      </c>
      <c r="K21" s="803">
        <v>104140</v>
      </c>
      <c r="L21" s="803">
        <v>14736</v>
      </c>
      <c r="M21" s="803">
        <v>755524</v>
      </c>
      <c r="N21" s="803">
        <v>0</v>
      </c>
      <c r="O21" s="803">
        <f t="shared" si="0"/>
        <v>5225622</v>
      </c>
      <c r="Q21" s="103">
        <f t="shared" si="1"/>
        <v>2.5308095439924752</v>
      </c>
      <c r="R21" s="103">
        <f t="shared" si="2"/>
        <v>2.5308099999999998</v>
      </c>
      <c r="S21" s="103">
        <v>2.3426170000000002</v>
      </c>
    </row>
    <row r="22" spans="1:19" ht="24.95" customHeight="1" x14ac:dyDescent="0.25">
      <c r="A22" s="801">
        <v>16</v>
      </c>
      <c r="B22" s="802" t="s">
        <v>158</v>
      </c>
      <c r="C22" s="803">
        <v>98538</v>
      </c>
      <c r="D22" s="803">
        <v>543357</v>
      </c>
      <c r="E22" s="803">
        <v>1410609</v>
      </c>
      <c r="F22" s="803">
        <v>254419</v>
      </c>
      <c r="G22" s="803">
        <v>1343993</v>
      </c>
      <c r="H22" s="804">
        <v>2562698</v>
      </c>
      <c r="I22" s="803">
        <v>1405245</v>
      </c>
      <c r="J22" s="803">
        <v>-59118</v>
      </c>
      <c r="K22" s="803">
        <v>1327948</v>
      </c>
      <c r="L22" s="803">
        <v>1325839</v>
      </c>
      <c r="M22" s="803">
        <v>125765</v>
      </c>
      <c r="N22" s="803">
        <v>0</v>
      </c>
      <c r="O22" s="803">
        <f t="shared" si="0"/>
        <v>10339293</v>
      </c>
      <c r="Q22" s="103">
        <f t="shared" si="1"/>
        <v>5.0074003444058119</v>
      </c>
      <c r="R22" s="103">
        <f t="shared" si="2"/>
        <v>5.0073999999999996</v>
      </c>
      <c r="S22" s="103">
        <v>8.223357</v>
      </c>
    </row>
    <row r="23" spans="1:19" ht="24.95" customHeight="1" x14ac:dyDescent="0.25">
      <c r="A23" s="801">
        <v>17</v>
      </c>
      <c r="B23" s="802" t="s">
        <v>159</v>
      </c>
      <c r="C23" s="803">
        <v>286825</v>
      </c>
      <c r="D23" s="803">
        <v>0</v>
      </c>
      <c r="E23" s="803">
        <v>550156</v>
      </c>
      <c r="F23" s="803">
        <v>292568</v>
      </c>
      <c r="G23" s="803">
        <v>570261</v>
      </c>
      <c r="H23" s="804">
        <v>0</v>
      </c>
      <c r="I23" s="803">
        <v>0</v>
      </c>
      <c r="J23" s="803">
        <v>644451</v>
      </c>
      <c r="K23" s="803">
        <v>284843</v>
      </c>
      <c r="L23" s="803">
        <v>0</v>
      </c>
      <c r="M23" s="803">
        <v>0</v>
      </c>
      <c r="N23" s="803">
        <v>0</v>
      </c>
      <c r="O23" s="803">
        <f t="shared" si="0"/>
        <v>2629104</v>
      </c>
      <c r="Q23" s="103">
        <f t="shared" si="1"/>
        <v>1.2732955991361015</v>
      </c>
      <c r="R23" s="103">
        <f t="shared" si="2"/>
        <v>1.273296</v>
      </c>
      <c r="S23" s="103">
        <v>0.12512300000000001</v>
      </c>
    </row>
    <row r="24" spans="1:19" ht="24.95" customHeight="1" x14ac:dyDescent="0.25">
      <c r="A24" s="801">
        <v>18</v>
      </c>
      <c r="B24" s="802" t="s">
        <v>160</v>
      </c>
      <c r="C24" s="803">
        <v>2004688</v>
      </c>
      <c r="D24" s="803">
        <v>3842871</v>
      </c>
      <c r="E24" s="803">
        <v>19356186</v>
      </c>
      <c r="F24" s="803">
        <v>1063696</v>
      </c>
      <c r="G24" s="803">
        <v>842956</v>
      </c>
      <c r="H24" s="804">
        <v>49933</v>
      </c>
      <c r="I24" s="803">
        <v>28848</v>
      </c>
      <c r="J24" s="803">
        <v>-162069</v>
      </c>
      <c r="K24" s="803">
        <v>53029</v>
      </c>
      <c r="L24" s="803">
        <v>22830512</v>
      </c>
      <c r="M24" s="803">
        <v>1170078</v>
      </c>
      <c r="N24" s="803">
        <v>0</v>
      </c>
      <c r="O24" s="803">
        <f t="shared" si="0"/>
        <v>51080728</v>
      </c>
      <c r="Q24" s="103">
        <f t="shared" si="1"/>
        <v>24.738795484343044</v>
      </c>
      <c r="R24" s="103">
        <f t="shared" si="2"/>
        <v>24.738795</v>
      </c>
      <c r="S24" s="103">
        <v>27.055569999999999</v>
      </c>
    </row>
    <row r="25" spans="1:19" ht="24.95" customHeight="1" x14ac:dyDescent="0.25">
      <c r="A25" s="801">
        <v>19</v>
      </c>
      <c r="B25" s="802" t="s">
        <v>161</v>
      </c>
      <c r="C25" s="803">
        <v>634450</v>
      </c>
      <c r="D25" s="803">
        <v>39463</v>
      </c>
      <c r="E25" s="803">
        <v>1157929</v>
      </c>
      <c r="F25" s="803">
        <v>3048891</v>
      </c>
      <c r="G25" s="803">
        <v>647050</v>
      </c>
      <c r="H25" s="804">
        <v>0</v>
      </c>
      <c r="I25" s="803">
        <v>661123</v>
      </c>
      <c r="J25" s="803">
        <v>1219046</v>
      </c>
      <c r="K25" s="803">
        <v>634031</v>
      </c>
      <c r="L25" s="803">
        <v>644610</v>
      </c>
      <c r="M25" s="803">
        <v>611943</v>
      </c>
      <c r="N25" s="803">
        <v>0</v>
      </c>
      <c r="O25" s="803">
        <f t="shared" si="0"/>
        <v>9298536</v>
      </c>
      <c r="Q25" s="103">
        <f t="shared" si="1"/>
        <v>4.5033536015344415</v>
      </c>
      <c r="R25" s="103">
        <f t="shared" si="2"/>
        <v>4.5033539999999999</v>
      </c>
      <c r="S25" s="103">
        <v>3.4117850000000001</v>
      </c>
    </row>
    <row r="26" spans="1:19" ht="24.95" customHeight="1" x14ac:dyDescent="0.25">
      <c r="A26" s="801">
        <v>20</v>
      </c>
      <c r="B26" s="802" t="s">
        <v>162</v>
      </c>
      <c r="C26" s="803">
        <v>913237</v>
      </c>
      <c r="D26" s="803">
        <v>476073</v>
      </c>
      <c r="E26" s="803">
        <v>3595941</v>
      </c>
      <c r="F26" s="803">
        <v>1695626</v>
      </c>
      <c r="G26" s="803">
        <v>1249016</v>
      </c>
      <c r="H26" s="804">
        <v>1027172</v>
      </c>
      <c r="I26" s="803">
        <v>914897</v>
      </c>
      <c r="J26" s="803">
        <v>-96312</v>
      </c>
      <c r="K26" s="803">
        <v>1004922</v>
      </c>
      <c r="L26" s="803">
        <v>1081027</v>
      </c>
      <c r="M26" s="803">
        <v>1670174</v>
      </c>
      <c r="N26" s="803">
        <v>0</v>
      </c>
      <c r="O26" s="803">
        <f t="shared" si="0"/>
        <v>13531773</v>
      </c>
      <c r="Q26" s="103">
        <f t="shared" si="1"/>
        <v>6.5535433400157315</v>
      </c>
      <c r="R26" s="103">
        <f t="shared" si="2"/>
        <v>6.5535430000000003</v>
      </c>
      <c r="S26" s="103">
        <v>6.6228569999999998</v>
      </c>
    </row>
    <row r="27" spans="1:19" ht="24.95" customHeight="1" x14ac:dyDescent="0.25">
      <c r="A27" s="1224" t="s">
        <v>165</v>
      </c>
      <c r="B27" s="1225"/>
      <c r="C27" s="806">
        <f>SUM(C7:C26)</f>
        <v>16180621</v>
      </c>
      <c r="D27" s="806">
        <f t="shared" ref="D27:O27" si="3">SUM(D7:D26)</f>
        <v>22011601</v>
      </c>
      <c r="E27" s="806">
        <f t="shared" si="3"/>
        <v>38417231</v>
      </c>
      <c r="F27" s="806">
        <f t="shared" si="3"/>
        <v>17292407</v>
      </c>
      <c r="G27" s="806">
        <f t="shared" si="3"/>
        <v>13488451</v>
      </c>
      <c r="H27" s="806">
        <f t="shared" si="3"/>
        <v>9885429</v>
      </c>
      <c r="I27" s="806">
        <f t="shared" si="3"/>
        <v>19264424</v>
      </c>
      <c r="J27" s="806">
        <f t="shared" si="3"/>
        <v>8176167</v>
      </c>
      <c r="K27" s="806">
        <f t="shared" si="3"/>
        <v>15672404</v>
      </c>
      <c r="L27" s="806">
        <f t="shared" si="3"/>
        <v>32152260</v>
      </c>
      <c r="M27" s="806">
        <f t="shared" si="3"/>
        <v>13939260</v>
      </c>
      <c r="N27" s="806">
        <f t="shared" si="3"/>
        <v>0</v>
      </c>
      <c r="O27" s="807">
        <f t="shared" si="3"/>
        <v>206480255</v>
      </c>
      <c r="Q27" s="103">
        <f>SUM(Q7:Q26)</f>
        <v>100.00000000000001</v>
      </c>
      <c r="R27" s="103">
        <f t="shared" ref="R27:S27" si="4">SUM(R7:R26)</f>
        <v>99.999999000000003</v>
      </c>
      <c r="S27" s="103">
        <f t="shared" si="4"/>
        <v>99.999999999999986</v>
      </c>
    </row>
    <row r="28" spans="1:19" x14ac:dyDescent="0.25">
      <c r="H28" s="808"/>
    </row>
    <row r="29" spans="1:19" x14ac:dyDescent="0.25">
      <c r="H29" s="104"/>
    </row>
  </sheetData>
  <mergeCells count="17">
    <mergeCell ref="A27:B27"/>
    <mergeCell ref="K4:K6"/>
    <mergeCell ref="L4:L6"/>
    <mergeCell ref="M4:M6"/>
    <mergeCell ref="N4:N6"/>
    <mergeCell ref="O4:O6"/>
    <mergeCell ref="Q4:Q6"/>
    <mergeCell ref="A1:O2"/>
    <mergeCell ref="B4:B6"/>
    <mergeCell ref="C4:C6"/>
    <mergeCell ref="D4:D6"/>
    <mergeCell ref="E4:E6"/>
    <mergeCell ref="F4:F6"/>
    <mergeCell ref="G4:G6"/>
    <mergeCell ref="H4:H6"/>
    <mergeCell ref="I4:I6"/>
    <mergeCell ref="J4:J6"/>
  </mergeCells>
  <pageMargins left="0.70866141732283472" right="0.70866141732283472" top="0.74803149606299213" bottom="0.74803149606299213" header="0.31496062992125984" footer="0.31496062992125984"/>
  <pageSetup scale="55"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pageSetUpPr fitToPage="1"/>
  </sheetPr>
  <dimension ref="A1:R29"/>
  <sheetViews>
    <sheetView zoomScaleNormal="100" workbookViewId="0">
      <selection activeCell="R7" sqref="R7"/>
    </sheetView>
  </sheetViews>
  <sheetFormatPr baseColWidth="10" defaultRowHeight="15" x14ac:dyDescent="0.25"/>
  <cols>
    <col min="1" max="1" width="3.7109375" customWidth="1"/>
    <col min="2" max="2" width="18.5703125" customWidth="1"/>
    <col min="3" max="15" width="13.28515625" customWidth="1"/>
    <col min="16" max="16" width="14.28515625" customWidth="1"/>
  </cols>
  <sheetData>
    <row r="1" spans="1:18" x14ac:dyDescent="0.25">
      <c r="A1" s="1220" t="s">
        <v>375</v>
      </c>
      <c r="B1" s="1220"/>
      <c r="C1" s="1220"/>
      <c r="D1" s="1220"/>
      <c r="E1" s="1220"/>
      <c r="F1" s="1220"/>
      <c r="G1" s="1220"/>
      <c r="H1" s="1220"/>
      <c r="I1" s="1220"/>
      <c r="J1" s="1220"/>
      <c r="K1" s="1220"/>
      <c r="L1" s="1220"/>
      <c r="M1" s="1220"/>
      <c r="N1" s="1220"/>
      <c r="O1" s="1220"/>
      <c r="P1" s="1220"/>
    </row>
    <row r="2" spans="1:18" x14ac:dyDescent="0.25">
      <c r="A2" s="1220"/>
      <c r="B2" s="1220"/>
      <c r="C2" s="1220"/>
      <c r="D2" s="1220"/>
      <c r="E2" s="1220"/>
      <c r="F2" s="1220"/>
      <c r="G2" s="1220"/>
      <c r="H2" s="1220"/>
      <c r="I2" s="1220"/>
      <c r="J2" s="1220"/>
      <c r="K2" s="1220"/>
      <c r="L2" s="1220"/>
      <c r="M2" s="1220"/>
      <c r="N2" s="1220"/>
      <c r="O2" s="1220"/>
      <c r="P2" s="1220"/>
    </row>
    <row r="4" spans="1:18" ht="15.75" customHeight="1" x14ac:dyDescent="0.25">
      <c r="A4" s="798" t="s">
        <v>368</v>
      </c>
      <c r="B4" s="1221" t="s">
        <v>307</v>
      </c>
      <c r="C4" s="1218" t="s">
        <v>1</v>
      </c>
      <c r="D4" s="1218" t="s">
        <v>2</v>
      </c>
      <c r="E4" s="1218" t="s">
        <v>3</v>
      </c>
      <c r="F4" s="1226" t="s">
        <v>376</v>
      </c>
      <c r="G4" s="1218" t="s">
        <v>4</v>
      </c>
      <c r="H4" s="1229" t="s">
        <v>5</v>
      </c>
      <c r="I4" s="1218" t="s">
        <v>6</v>
      </c>
      <c r="J4" s="1218" t="s">
        <v>7</v>
      </c>
      <c r="K4" s="1218" t="s">
        <v>8</v>
      </c>
      <c r="L4" s="1218" t="s">
        <v>9</v>
      </c>
      <c r="M4" s="1218" t="s">
        <v>10</v>
      </c>
      <c r="N4" s="1218" t="s">
        <v>11</v>
      </c>
      <c r="O4" s="1218" t="s">
        <v>12</v>
      </c>
      <c r="P4" s="1218" t="s">
        <v>165</v>
      </c>
      <c r="R4" s="1219"/>
    </row>
    <row r="5" spans="1:18" ht="15.75" customHeight="1" x14ac:dyDescent="0.25">
      <c r="A5" s="799" t="s">
        <v>370</v>
      </c>
      <c r="B5" s="1222"/>
      <c r="C5" s="1218"/>
      <c r="D5" s="1218"/>
      <c r="E5" s="1218"/>
      <c r="F5" s="1227"/>
      <c r="G5" s="1218"/>
      <c r="H5" s="1230"/>
      <c r="I5" s="1218"/>
      <c r="J5" s="1218"/>
      <c r="K5" s="1218"/>
      <c r="L5" s="1218"/>
      <c r="M5" s="1218"/>
      <c r="N5" s="1218"/>
      <c r="O5" s="1218"/>
      <c r="P5" s="1218"/>
      <c r="R5" s="1219"/>
    </row>
    <row r="6" spans="1:18" ht="15.75" customHeight="1" x14ac:dyDescent="0.25">
      <c r="A6" s="800" t="s">
        <v>371</v>
      </c>
      <c r="B6" s="1223"/>
      <c r="C6" s="1218"/>
      <c r="D6" s="1218"/>
      <c r="E6" s="1218"/>
      <c r="F6" s="1228"/>
      <c r="G6" s="1218"/>
      <c r="H6" s="1231"/>
      <c r="I6" s="1218"/>
      <c r="J6" s="1218"/>
      <c r="K6" s="1218"/>
      <c r="L6" s="1218"/>
      <c r="M6" s="1218"/>
      <c r="N6" s="1218"/>
      <c r="O6" s="1218"/>
      <c r="P6" s="1218"/>
      <c r="R6" s="1219"/>
    </row>
    <row r="7" spans="1:18" ht="24.95" customHeight="1" x14ac:dyDescent="0.25">
      <c r="A7" s="801">
        <v>1</v>
      </c>
      <c r="B7" s="802" t="s">
        <v>274</v>
      </c>
      <c r="C7" s="803">
        <v>230889.95</v>
      </c>
      <c r="D7" s="803">
        <v>44459.15</v>
      </c>
      <c r="E7" s="803">
        <v>31816.67</v>
      </c>
      <c r="F7" s="803">
        <v>-185687.83275438202</v>
      </c>
      <c r="G7" s="803">
        <v>99054.54</v>
      </c>
      <c r="H7" s="803">
        <v>284794.21999999997</v>
      </c>
      <c r="I7" s="804">
        <v>142921.01999999999</v>
      </c>
      <c r="J7" s="803">
        <v>141448.73000000001</v>
      </c>
      <c r="K7" s="803">
        <v>97957.92</v>
      </c>
      <c r="L7" s="803">
        <v>84986.77</v>
      </c>
      <c r="M7" s="803">
        <v>75215.03</v>
      </c>
      <c r="N7" s="803">
        <v>94789.84</v>
      </c>
      <c r="O7" s="803">
        <v>96318.09</v>
      </c>
      <c r="P7" s="803">
        <f t="shared" ref="P7:P26" si="0">SUM(C7:O7)</f>
        <v>1238964.0972456182</v>
      </c>
      <c r="R7" s="59">
        <f>P7/$P$27*100</f>
        <v>3.6956981722928051</v>
      </c>
    </row>
    <row r="8" spans="1:18" ht="24.95" customHeight="1" x14ac:dyDescent="0.25">
      <c r="A8" s="801">
        <v>2</v>
      </c>
      <c r="B8" s="802" t="s">
        <v>144</v>
      </c>
      <c r="C8" s="803">
        <v>159066.10999999999</v>
      </c>
      <c r="D8" s="803">
        <v>30714.560000000001</v>
      </c>
      <c r="E8" s="803">
        <v>21980.51</v>
      </c>
      <c r="F8" s="803">
        <v>-128282.24603563</v>
      </c>
      <c r="G8" s="803">
        <v>68431.73</v>
      </c>
      <c r="H8" s="803">
        <v>196749.79</v>
      </c>
      <c r="I8" s="804">
        <v>98736.84</v>
      </c>
      <c r="J8" s="803">
        <v>97719.71</v>
      </c>
      <c r="K8" s="803">
        <v>67674.13</v>
      </c>
      <c r="L8" s="803">
        <v>58713.02</v>
      </c>
      <c r="M8" s="803">
        <v>51962.23</v>
      </c>
      <c r="N8" s="803">
        <v>65485.46</v>
      </c>
      <c r="O8" s="803">
        <v>66541.25</v>
      </c>
      <c r="P8" s="803">
        <f t="shared" si="0"/>
        <v>855493.09396436985</v>
      </c>
      <c r="R8" s="59">
        <f t="shared" ref="R8:R26" si="1">P8/$P$27*100</f>
        <v>2.5518449411100721</v>
      </c>
    </row>
    <row r="9" spans="1:18" ht="24.95" customHeight="1" x14ac:dyDescent="0.25">
      <c r="A9" s="801">
        <v>3</v>
      </c>
      <c r="B9" s="802" t="s">
        <v>145</v>
      </c>
      <c r="C9" s="803">
        <v>163443.22</v>
      </c>
      <c r="D9" s="803">
        <v>31697.66</v>
      </c>
      <c r="E9" s="803">
        <v>22684.06</v>
      </c>
      <c r="F9" s="803">
        <v>-132388.28906797199</v>
      </c>
      <c r="G9" s="803">
        <v>70622.080000000002</v>
      </c>
      <c r="H9" s="803">
        <v>203047.33</v>
      </c>
      <c r="I9" s="804">
        <v>101897.19</v>
      </c>
      <c r="J9" s="803">
        <v>100847.51</v>
      </c>
      <c r="K9" s="803">
        <v>69840.23</v>
      </c>
      <c r="L9" s="803">
        <v>60592.3</v>
      </c>
      <c r="M9" s="803">
        <v>53625.43</v>
      </c>
      <c r="N9" s="803">
        <v>67581.509999999995</v>
      </c>
      <c r="O9" s="803">
        <v>68671.100000000006</v>
      </c>
      <c r="P9" s="803">
        <f t="shared" si="0"/>
        <v>882161.33093202801</v>
      </c>
      <c r="R9" s="59">
        <f t="shared" si="1"/>
        <v>2.6313934565503119</v>
      </c>
    </row>
    <row r="10" spans="1:18" ht="24.95" customHeight="1" x14ac:dyDescent="0.25">
      <c r="A10" s="801">
        <v>4</v>
      </c>
      <c r="B10" s="802" t="s">
        <v>372</v>
      </c>
      <c r="C10" s="803">
        <v>573767.36</v>
      </c>
      <c r="D10" s="803">
        <v>130614.07</v>
      </c>
      <c r="E10" s="803">
        <v>93472.44</v>
      </c>
      <c r="F10" s="803">
        <v>-545522.00401815202</v>
      </c>
      <c r="G10" s="803">
        <v>291006.86</v>
      </c>
      <c r="H10" s="803">
        <v>836681.16</v>
      </c>
      <c r="I10" s="804">
        <v>419879.74</v>
      </c>
      <c r="J10" s="803">
        <v>415554.41</v>
      </c>
      <c r="K10" s="803">
        <v>287785.15000000002</v>
      </c>
      <c r="L10" s="803">
        <v>249677.94</v>
      </c>
      <c r="M10" s="803">
        <v>220970.08</v>
      </c>
      <c r="N10" s="803">
        <v>278477.83</v>
      </c>
      <c r="O10" s="803">
        <v>282967.59000000003</v>
      </c>
      <c r="P10" s="803">
        <f t="shared" si="0"/>
        <v>3535332.6259818478</v>
      </c>
      <c r="R10" s="59">
        <f t="shared" si="1"/>
        <v>10.545521337813282</v>
      </c>
    </row>
    <row r="11" spans="1:18" ht="24.95" customHeight="1" x14ac:dyDescent="0.25">
      <c r="A11" s="801">
        <v>5</v>
      </c>
      <c r="B11" s="802" t="s">
        <v>147</v>
      </c>
      <c r="C11" s="803">
        <v>447901.68</v>
      </c>
      <c r="D11" s="803">
        <v>87298.34</v>
      </c>
      <c r="E11" s="803">
        <v>62474.04</v>
      </c>
      <c r="F11" s="803">
        <v>-364609.77929653198</v>
      </c>
      <c r="G11" s="803">
        <v>194499.85</v>
      </c>
      <c r="H11" s="803">
        <v>559211.42000000004</v>
      </c>
      <c r="I11" s="804">
        <v>280634.44</v>
      </c>
      <c r="J11" s="803">
        <v>277743.52</v>
      </c>
      <c r="K11" s="803">
        <v>192346.56</v>
      </c>
      <c r="L11" s="803">
        <v>166876.9</v>
      </c>
      <c r="M11" s="803">
        <v>147689.47</v>
      </c>
      <c r="N11" s="803">
        <v>186125.84</v>
      </c>
      <c r="O11" s="803">
        <v>189126.65</v>
      </c>
      <c r="P11" s="803">
        <f t="shared" si="0"/>
        <v>2427318.9307034682</v>
      </c>
      <c r="R11" s="59">
        <f t="shared" si="1"/>
        <v>7.2404342916113968</v>
      </c>
    </row>
    <row r="12" spans="1:18" ht="24.95" customHeight="1" x14ac:dyDescent="0.25">
      <c r="A12" s="801">
        <v>6</v>
      </c>
      <c r="B12" s="802" t="s">
        <v>276</v>
      </c>
      <c r="C12" s="803">
        <v>230011.54</v>
      </c>
      <c r="D12" s="803">
        <v>46786.51</v>
      </c>
      <c r="E12" s="803">
        <v>33482.22</v>
      </c>
      <c r="F12" s="803">
        <v>-195408.28175218997</v>
      </c>
      <c r="G12" s="803">
        <v>104239.88</v>
      </c>
      <c r="H12" s="803">
        <v>299702.71999999997</v>
      </c>
      <c r="I12" s="804">
        <v>150402.69</v>
      </c>
      <c r="J12" s="803">
        <v>148853.34</v>
      </c>
      <c r="K12" s="803">
        <v>103085.86</v>
      </c>
      <c r="L12" s="803">
        <v>89435.69</v>
      </c>
      <c r="M12" s="803">
        <v>79152.42</v>
      </c>
      <c r="N12" s="803">
        <v>99751.93</v>
      </c>
      <c r="O12" s="803">
        <v>101360.18</v>
      </c>
      <c r="P12" s="803">
        <f t="shared" si="0"/>
        <v>1290856.6982478097</v>
      </c>
      <c r="R12" s="59">
        <f t="shared" si="1"/>
        <v>3.8504882837299879</v>
      </c>
    </row>
    <row r="13" spans="1:18" ht="24.95" customHeight="1" x14ac:dyDescent="0.25">
      <c r="A13" s="801">
        <v>7</v>
      </c>
      <c r="B13" s="802" t="s">
        <v>149</v>
      </c>
      <c r="C13" s="803">
        <v>173986.17</v>
      </c>
      <c r="D13" s="803">
        <v>33710.79</v>
      </c>
      <c r="E13" s="803">
        <v>24124.73</v>
      </c>
      <c r="F13" s="803">
        <v>-140796.29984227399</v>
      </c>
      <c r="G13" s="803">
        <v>75107.31</v>
      </c>
      <c r="H13" s="803">
        <v>215942.91</v>
      </c>
      <c r="I13" s="804">
        <v>108368.71</v>
      </c>
      <c r="J13" s="803">
        <v>107252.36</v>
      </c>
      <c r="K13" s="803">
        <v>74275.8</v>
      </c>
      <c r="L13" s="803">
        <v>64440.54</v>
      </c>
      <c r="M13" s="803">
        <v>57031.19</v>
      </c>
      <c r="N13" s="803">
        <v>71873.63</v>
      </c>
      <c r="O13" s="803">
        <v>73032.41</v>
      </c>
      <c r="P13" s="803">
        <f t="shared" si="0"/>
        <v>938350.25015772623</v>
      </c>
      <c r="R13" s="59">
        <f t="shared" si="1"/>
        <v>2.7989990284528155</v>
      </c>
    </row>
    <row r="14" spans="1:18" ht="24.95" customHeight="1" x14ac:dyDescent="0.25">
      <c r="A14" s="801">
        <v>8</v>
      </c>
      <c r="B14" s="802" t="s">
        <v>150</v>
      </c>
      <c r="C14" s="803">
        <v>210330.92</v>
      </c>
      <c r="D14" s="803">
        <v>40590.620000000003</v>
      </c>
      <c r="E14" s="803">
        <v>29048.21</v>
      </c>
      <c r="F14" s="803">
        <v>-169530.57839835397</v>
      </c>
      <c r="G14" s="803">
        <v>90435.51</v>
      </c>
      <c r="H14" s="803">
        <v>260013.42</v>
      </c>
      <c r="I14" s="804">
        <v>130485.03</v>
      </c>
      <c r="J14" s="803">
        <v>129140.86</v>
      </c>
      <c r="K14" s="803">
        <v>89434.31</v>
      </c>
      <c r="L14" s="803">
        <v>77591.820000000007</v>
      </c>
      <c r="M14" s="803">
        <v>68670.350000000006</v>
      </c>
      <c r="N14" s="803">
        <v>86541.89</v>
      </c>
      <c r="O14" s="803">
        <v>87937.16</v>
      </c>
      <c r="P14" s="803">
        <f t="shared" si="0"/>
        <v>1130689.521601646</v>
      </c>
      <c r="R14" s="59">
        <f t="shared" si="1"/>
        <v>3.3727266251730823</v>
      </c>
    </row>
    <row r="15" spans="1:18" ht="24.95" customHeight="1" x14ac:dyDescent="0.25">
      <c r="A15" s="801">
        <v>9</v>
      </c>
      <c r="B15" s="802" t="s">
        <v>151</v>
      </c>
      <c r="C15" s="803">
        <v>199578.75</v>
      </c>
      <c r="D15" s="803">
        <v>39127.22</v>
      </c>
      <c r="E15" s="803">
        <v>28000.94</v>
      </c>
      <c r="F15" s="803">
        <v>-163418.51458818998</v>
      </c>
      <c r="G15" s="803">
        <v>87175.05</v>
      </c>
      <c r="H15" s="803">
        <v>250639.19</v>
      </c>
      <c r="I15" s="804">
        <v>125780.67</v>
      </c>
      <c r="J15" s="803">
        <v>124484.96</v>
      </c>
      <c r="K15" s="803">
        <v>86209.95</v>
      </c>
      <c r="L15" s="803">
        <v>74794.41</v>
      </c>
      <c r="M15" s="803">
        <v>66194.59</v>
      </c>
      <c r="N15" s="803">
        <v>83421.81</v>
      </c>
      <c r="O15" s="803">
        <v>84766.78</v>
      </c>
      <c r="P15" s="803">
        <f t="shared" si="0"/>
        <v>1086755.8054118101</v>
      </c>
      <c r="R15" s="59">
        <f t="shared" si="1"/>
        <v>3.2416770209224279</v>
      </c>
    </row>
    <row r="16" spans="1:18" ht="24.95" customHeight="1" x14ac:dyDescent="0.25">
      <c r="A16" s="801">
        <v>10</v>
      </c>
      <c r="B16" s="802" t="s">
        <v>152</v>
      </c>
      <c r="C16" s="803">
        <v>148183.26</v>
      </c>
      <c r="D16" s="803">
        <v>29075.99</v>
      </c>
      <c r="E16" s="803">
        <v>20807.89</v>
      </c>
      <c r="F16" s="803">
        <v>-121438.605515512</v>
      </c>
      <c r="G16" s="803">
        <v>64781.01</v>
      </c>
      <c r="H16" s="803">
        <v>186253.52</v>
      </c>
      <c r="I16" s="804">
        <v>93469.39</v>
      </c>
      <c r="J16" s="803">
        <v>92506.53</v>
      </c>
      <c r="K16" s="803">
        <v>64063.83</v>
      </c>
      <c r="L16" s="803">
        <v>55580.78</v>
      </c>
      <c r="M16" s="803">
        <v>49190.13</v>
      </c>
      <c r="N16" s="803">
        <v>61991.92</v>
      </c>
      <c r="O16" s="803">
        <v>62991.39</v>
      </c>
      <c r="P16" s="803">
        <f t="shared" si="0"/>
        <v>807457.03448448807</v>
      </c>
      <c r="R16" s="59">
        <f t="shared" si="1"/>
        <v>2.4085584829967073</v>
      </c>
    </row>
    <row r="17" spans="1:18" ht="24.95" customHeight="1" x14ac:dyDescent="0.25">
      <c r="A17" s="801">
        <v>11</v>
      </c>
      <c r="B17" s="802" t="s">
        <v>153</v>
      </c>
      <c r="C17" s="803">
        <v>226746.16</v>
      </c>
      <c r="D17" s="803">
        <v>43596.37</v>
      </c>
      <c r="E17" s="803">
        <v>31199.23</v>
      </c>
      <c r="F17" s="803">
        <v>-182084.3419002</v>
      </c>
      <c r="G17" s="803">
        <v>97132.27</v>
      </c>
      <c r="H17" s="803">
        <v>279267.45</v>
      </c>
      <c r="I17" s="804">
        <v>140147.47</v>
      </c>
      <c r="J17" s="803">
        <v>138703.76</v>
      </c>
      <c r="K17" s="803">
        <v>96056.93</v>
      </c>
      <c r="L17" s="803">
        <v>83337.509999999995</v>
      </c>
      <c r="M17" s="803">
        <v>73755.399999999994</v>
      </c>
      <c r="N17" s="803">
        <v>92950.33</v>
      </c>
      <c r="O17" s="803">
        <v>94448.92</v>
      </c>
      <c r="P17" s="803">
        <f t="shared" si="0"/>
        <v>1215257.4580997999</v>
      </c>
      <c r="R17" s="59">
        <f t="shared" si="1"/>
        <v>3.6249837882705553</v>
      </c>
    </row>
    <row r="18" spans="1:18" ht="24.95" customHeight="1" x14ac:dyDescent="0.25">
      <c r="A18" s="801">
        <v>12</v>
      </c>
      <c r="B18" s="802" t="s">
        <v>154</v>
      </c>
      <c r="C18" s="803">
        <v>216643.25</v>
      </c>
      <c r="D18" s="803">
        <v>41672.46</v>
      </c>
      <c r="E18" s="803">
        <v>29822.41</v>
      </c>
      <c r="F18" s="803">
        <v>-174048.95641060799</v>
      </c>
      <c r="G18" s="803">
        <v>92845.83</v>
      </c>
      <c r="H18" s="803">
        <v>266943.37</v>
      </c>
      <c r="I18" s="804">
        <v>133962.76</v>
      </c>
      <c r="J18" s="803">
        <v>132582.76</v>
      </c>
      <c r="K18" s="803">
        <v>91817.94</v>
      </c>
      <c r="L18" s="803">
        <v>79659.820000000007</v>
      </c>
      <c r="M18" s="803">
        <v>70500.570000000007</v>
      </c>
      <c r="N18" s="803">
        <v>88848.43</v>
      </c>
      <c r="O18" s="803">
        <v>90280.89</v>
      </c>
      <c r="P18" s="803">
        <f t="shared" si="0"/>
        <v>1161531.533589392</v>
      </c>
      <c r="R18" s="59">
        <f t="shared" si="1"/>
        <v>3.4647250677319463</v>
      </c>
    </row>
    <row r="19" spans="1:18" ht="24.95" customHeight="1" x14ac:dyDescent="0.25">
      <c r="A19" s="801">
        <v>13</v>
      </c>
      <c r="B19" s="805" t="s">
        <v>155</v>
      </c>
      <c r="C19" s="803">
        <v>231510.39</v>
      </c>
      <c r="D19" s="803">
        <v>43220.03</v>
      </c>
      <c r="E19" s="803">
        <v>30929.91</v>
      </c>
      <c r="F19" s="803">
        <v>-180512.55446025397</v>
      </c>
      <c r="G19" s="803">
        <v>96293.81</v>
      </c>
      <c r="H19" s="803">
        <v>276856.76</v>
      </c>
      <c r="I19" s="804">
        <v>138937.69</v>
      </c>
      <c r="J19" s="803">
        <v>137506.44</v>
      </c>
      <c r="K19" s="803">
        <v>95227.75</v>
      </c>
      <c r="L19" s="803">
        <v>82618.12</v>
      </c>
      <c r="M19" s="803">
        <v>73118.73</v>
      </c>
      <c r="N19" s="803">
        <v>92147.97</v>
      </c>
      <c r="O19" s="803">
        <v>93633.62</v>
      </c>
      <c r="P19" s="803">
        <f t="shared" si="0"/>
        <v>1211488.6655397462</v>
      </c>
      <c r="R19" s="59">
        <f t="shared" si="1"/>
        <v>3.6137418807714554</v>
      </c>
    </row>
    <row r="20" spans="1:18" ht="24.95" customHeight="1" x14ac:dyDescent="0.25">
      <c r="A20" s="801">
        <v>14</v>
      </c>
      <c r="B20" s="802" t="s">
        <v>373</v>
      </c>
      <c r="C20" s="803">
        <v>167189.59</v>
      </c>
      <c r="D20" s="803">
        <v>32690.11</v>
      </c>
      <c r="E20" s="803">
        <v>23394.3</v>
      </c>
      <c r="F20" s="803">
        <v>-136533.33539687199</v>
      </c>
      <c r="G20" s="803">
        <v>72833.240000000005</v>
      </c>
      <c r="H20" s="803">
        <v>209404.7</v>
      </c>
      <c r="I20" s="804">
        <v>105087.57</v>
      </c>
      <c r="J20" s="803">
        <v>104005.02</v>
      </c>
      <c r="K20" s="803">
        <v>72026.91</v>
      </c>
      <c r="L20" s="803">
        <v>62489.440000000002</v>
      </c>
      <c r="M20" s="803">
        <v>55304.43</v>
      </c>
      <c r="N20" s="803">
        <v>69697.48</v>
      </c>
      <c r="O20" s="803">
        <v>70821.17</v>
      </c>
      <c r="P20" s="803">
        <f t="shared" si="0"/>
        <v>908410.62460312806</v>
      </c>
      <c r="R20" s="59">
        <f t="shared" si="1"/>
        <v>2.7096923086800278</v>
      </c>
    </row>
    <row r="21" spans="1:18" ht="24.95" customHeight="1" x14ac:dyDescent="0.25">
      <c r="A21" s="801">
        <v>15</v>
      </c>
      <c r="B21" s="802" t="s">
        <v>374</v>
      </c>
      <c r="C21" s="803">
        <v>169511.74</v>
      </c>
      <c r="D21" s="803">
        <v>33353.769999999997</v>
      </c>
      <c r="E21" s="803">
        <v>23869.24</v>
      </c>
      <c r="F21" s="803">
        <v>-139305.19321888199</v>
      </c>
      <c r="G21" s="803">
        <v>74311.88</v>
      </c>
      <c r="H21" s="803">
        <v>213655.97</v>
      </c>
      <c r="I21" s="804">
        <v>107221.03</v>
      </c>
      <c r="J21" s="803">
        <v>106116.5</v>
      </c>
      <c r="K21" s="803">
        <v>73489.179999999993</v>
      </c>
      <c r="L21" s="803">
        <v>63758.080000000002</v>
      </c>
      <c r="M21" s="803">
        <v>56427.199999999997</v>
      </c>
      <c r="N21" s="803">
        <v>71112.45</v>
      </c>
      <c r="O21" s="803">
        <v>72258.960000000006</v>
      </c>
      <c r="P21" s="803">
        <f t="shared" si="0"/>
        <v>925780.80678111792</v>
      </c>
      <c r="R21" s="59">
        <f t="shared" si="1"/>
        <v>2.7615057152753471</v>
      </c>
    </row>
    <row r="22" spans="1:18" ht="24.95" customHeight="1" x14ac:dyDescent="0.25">
      <c r="A22" s="801">
        <v>16</v>
      </c>
      <c r="B22" s="802" t="s">
        <v>158</v>
      </c>
      <c r="C22" s="803">
        <v>414160.22</v>
      </c>
      <c r="D22" s="803">
        <v>76813.320000000007</v>
      </c>
      <c r="E22" s="803">
        <v>54970.559999999998</v>
      </c>
      <c r="F22" s="803">
        <v>-320818.10907313199</v>
      </c>
      <c r="G22" s="803">
        <v>171139.33</v>
      </c>
      <c r="H22" s="803">
        <v>492047</v>
      </c>
      <c r="I22" s="804">
        <v>246928.67</v>
      </c>
      <c r="J22" s="803">
        <v>244384.97</v>
      </c>
      <c r="K22" s="803">
        <v>169244.66</v>
      </c>
      <c r="L22" s="803">
        <v>146834.04999999999</v>
      </c>
      <c r="M22" s="803">
        <v>129951.14</v>
      </c>
      <c r="N22" s="803">
        <v>163771.07999999999</v>
      </c>
      <c r="O22" s="803">
        <v>166411.48000000001</v>
      </c>
      <c r="P22" s="803">
        <f t="shared" si="0"/>
        <v>2155838.3709268682</v>
      </c>
      <c r="R22" s="59">
        <f t="shared" si="1"/>
        <v>6.4306366462963309</v>
      </c>
    </row>
    <row r="23" spans="1:18" ht="24.95" customHeight="1" x14ac:dyDescent="0.25">
      <c r="A23" s="801">
        <v>17</v>
      </c>
      <c r="B23" s="802" t="s">
        <v>159</v>
      </c>
      <c r="C23" s="803">
        <v>246212.34</v>
      </c>
      <c r="D23" s="803">
        <v>46110.35</v>
      </c>
      <c r="E23" s="803">
        <v>32998.339999999997</v>
      </c>
      <c r="F23" s="803">
        <v>-192584.251344616</v>
      </c>
      <c r="G23" s="803">
        <v>102733.42</v>
      </c>
      <c r="H23" s="803">
        <v>295371.43</v>
      </c>
      <c r="I23" s="804">
        <v>148229.07999999999</v>
      </c>
      <c r="J23" s="803">
        <v>146702.12</v>
      </c>
      <c r="K23" s="803">
        <v>101596.06</v>
      </c>
      <c r="L23" s="803">
        <v>88143.17</v>
      </c>
      <c r="M23" s="803">
        <v>78008.509999999995</v>
      </c>
      <c r="N23" s="803">
        <v>98310.32</v>
      </c>
      <c r="O23" s="803">
        <v>99895.33</v>
      </c>
      <c r="P23" s="803">
        <f t="shared" si="0"/>
        <v>1291726.2186553841</v>
      </c>
      <c r="R23" s="59">
        <f t="shared" si="1"/>
        <v>3.8530819706561781</v>
      </c>
    </row>
    <row r="24" spans="1:18" ht="24.95" customHeight="1" x14ac:dyDescent="0.25">
      <c r="A24" s="801">
        <v>18</v>
      </c>
      <c r="B24" s="802" t="s">
        <v>160</v>
      </c>
      <c r="C24" s="803">
        <v>1393091.72</v>
      </c>
      <c r="D24" s="803">
        <v>270498.38</v>
      </c>
      <c r="E24" s="803">
        <v>193579.03</v>
      </c>
      <c r="F24" s="803">
        <v>-1129762.0709132659</v>
      </c>
      <c r="G24" s="803">
        <v>602667.74</v>
      </c>
      <c r="H24" s="803">
        <v>1732745.21</v>
      </c>
      <c r="I24" s="804">
        <v>869560.17</v>
      </c>
      <c r="J24" s="803">
        <v>860602.51</v>
      </c>
      <c r="K24" s="803">
        <v>595995.67000000004</v>
      </c>
      <c r="L24" s="803">
        <v>517076.61</v>
      </c>
      <c r="M24" s="803">
        <v>457623.37</v>
      </c>
      <c r="N24" s="803">
        <v>576720.43000000005</v>
      </c>
      <c r="O24" s="803">
        <v>586018.61</v>
      </c>
      <c r="P24" s="803">
        <f t="shared" si="0"/>
        <v>7526417.3790867347</v>
      </c>
      <c r="R24" s="59">
        <f t="shared" si="1"/>
        <v>22.450502814117783</v>
      </c>
    </row>
    <row r="25" spans="1:18" ht="24.95" customHeight="1" x14ac:dyDescent="0.25">
      <c r="A25" s="801">
        <v>19</v>
      </c>
      <c r="B25" s="802" t="s">
        <v>161</v>
      </c>
      <c r="C25" s="803">
        <v>226548.89</v>
      </c>
      <c r="D25" s="803">
        <v>43551.01</v>
      </c>
      <c r="E25" s="803">
        <v>31166.78</v>
      </c>
      <c r="F25" s="803">
        <v>-181894.92614951599</v>
      </c>
      <c r="G25" s="803">
        <v>97031.23</v>
      </c>
      <c r="H25" s="803">
        <v>278976.94</v>
      </c>
      <c r="I25" s="804">
        <v>140001.68</v>
      </c>
      <c r="J25" s="803">
        <v>138559.47</v>
      </c>
      <c r="K25" s="803">
        <v>95957.01</v>
      </c>
      <c r="L25" s="803">
        <v>83250.81</v>
      </c>
      <c r="M25" s="803">
        <v>73678.67</v>
      </c>
      <c r="N25" s="803">
        <v>92853.64</v>
      </c>
      <c r="O25" s="803">
        <v>94350.67</v>
      </c>
      <c r="P25" s="803">
        <f t="shared" si="0"/>
        <v>1214031.8738504841</v>
      </c>
      <c r="R25" s="59">
        <f t="shared" si="1"/>
        <v>3.6213280007620585</v>
      </c>
    </row>
    <row r="26" spans="1:18" ht="24.95" customHeight="1" x14ac:dyDescent="0.25">
      <c r="A26" s="801">
        <v>20</v>
      </c>
      <c r="B26" s="802" t="s">
        <v>162</v>
      </c>
      <c r="C26" s="803">
        <v>303271.74</v>
      </c>
      <c r="D26" s="803">
        <v>62509.89</v>
      </c>
      <c r="E26" s="803">
        <v>44734.49</v>
      </c>
      <c r="F26" s="803">
        <v>-261078.42986346598</v>
      </c>
      <c r="G26" s="803">
        <v>139271.43</v>
      </c>
      <c r="H26" s="803">
        <v>400422.69</v>
      </c>
      <c r="I26" s="804">
        <v>200947.96</v>
      </c>
      <c r="J26" s="803">
        <v>198877.92</v>
      </c>
      <c r="K26" s="803">
        <v>137729.54999999999</v>
      </c>
      <c r="L26" s="803">
        <v>119492.02</v>
      </c>
      <c r="M26" s="803">
        <v>105752.86</v>
      </c>
      <c r="N26" s="803">
        <v>133275.21</v>
      </c>
      <c r="O26" s="803">
        <v>135423.95000000001</v>
      </c>
      <c r="P26" s="803">
        <f t="shared" si="0"/>
        <v>1720631.280136534</v>
      </c>
      <c r="R26" s="59">
        <f t="shared" si="1"/>
        <v>5.1324601667854397</v>
      </c>
    </row>
    <row r="27" spans="1:18" ht="24.95" customHeight="1" x14ac:dyDescent="0.25">
      <c r="A27" s="1224" t="s">
        <v>165</v>
      </c>
      <c r="B27" s="1225"/>
      <c r="C27" s="806">
        <f>SUM(C7:C26)</f>
        <v>6132044.9999999991</v>
      </c>
      <c r="D27" s="806">
        <f t="shared" ref="D27:P27" si="2">SUM(D7:D26)</f>
        <v>1208090.5999999999</v>
      </c>
      <c r="E27" s="806">
        <f t="shared" si="2"/>
        <v>864555.99999999988</v>
      </c>
      <c r="F27" s="806">
        <f t="shared" si="2"/>
        <v>-5045704.6000000006</v>
      </c>
      <c r="G27" s="806">
        <f t="shared" si="2"/>
        <v>2691614</v>
      </c>
      <c r="H27" s="806">
        <f t="shared" si="2"/>
        <v>7738727.2000000002</v>
      </c>
      <c r="I27" s="806">
        <f t="shared" si="2"/>
        <v>3883599.7999999993</v>
      </c>
      <c r="J27" s="806">
        <f t="shared" si="2"/>
        <v>3843593.4000000008</v>
      </c>
      <c r="K27" s="806">
        <f t="shared" si="2"/>
        <v>2661815.3999999994</v>
      </c>
      <c r="L27" s="806">
        <f t="shared" si="2"/>
        <v>2309349.8000000003</v>
      </c>
      <c r="M27" s="806">
        <f t="shared" si="2"/>
        <v>2043821.8</v>
      </c>
      <c r="N27" s="806">
        <f t="shared" si="2"/>
        <v>2575729</v>
      </c>
      <c r="O27" s="806">
        <f t="shared" si="2"/>
        <v>2617256.1999999997</v>
      </c>
      <c r="P27" s="807">
        <f t="shared" si="2"/>
        <v>33524493.599999998</v>
      </c>
      <c r="R27" s="59">
        <f>SUM(R7:R26)</f>
        <v>100.00000000000001</v>
      </c>
    </row>
    <row r="28" spans="1:18" x14ac:dyDescent="0.25">
      <c r="I28" s="808"/>
    </row>
    <row r="29" spans="1:18" x14ac:dyDescent="0.25">
      <c r="I29" s="104"/>
    </row>
  </sheetData>
  <mergeCells count="18">
    <mergeCell ref="A1:P2"/>
    <mergeCell ref="B4:B6"/>
    <mergeCell ref="C4:C6"/>
    <mergeCell ref="D4:D6"/>
    <mergeCell ref="E4:E6"/>
    <mergeCell ref="F4:F6"/>
    <mergeCell ref="G4:G6"/>
    <mergeCell ref="H4:H6"/>
    <mergeCell ref="I4:I6"/>
    <mergeCell ref="J4:J6"/>
    <mergeCell ref="R4:R6"/>
    <mergeCell ref="A27:B27"/>
    <mergeCell ref="K4:K6"/>
    <mergeCell ref="L4:L6"/>
    <mergeCell ref="M4:M6"/>
    <mergeCell ref="N4:N6"/>
    <mergeCell ref="O4:O6"/>
    <mergeCell ref="P4:P6"/>
  </mergeCells>
  <pageMargins left="0.70866141732283472" right="0.70866141732283472" top="0.74803149606299213" bottom="0.74803149606299213" header="0.31496062992125984" footer="0.31496062992125984"/>
  <pageSetup scale="52"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rgb="FF00B050"/>
    <pageSetUpPr fitToPage="1"/>
  </sheetPr>
  <dimension ref="A1:R195"/>
  <sheetViews>
    <sheetView topLeftCell="A88" workbookViewId="0">
      <selection activeCell="A49" sqref="A49"/>
    </sheetView>
  </sheetViews>
  <sheetFormatPr baseColWidth="10" defaultRowHeight="12.75" x14ac:dyDescent="0.2"/>
  <cols>
    <col min="1" max="1" width="18" style="552" customWidth="1"/>
    <col min="2" max="2" width="13.7109375" style="670" bestFit="1" customWidth="1"/>
    <col min="3" max="3" width="18.42578125" style="670" bestFit="1" customWidth="1"/>
    <col min="4" max="12" width="13.7109375" style="670" bestFit="1" customWidth="1"/>
    <col min="13" max="13" width="14.28515625" style="670" customWidth="1"/>
    <col min="14" max="14" width="15.28515625" style="552" bestFit="1" customWidth="1"/>
    <col min="15" max="15" width="16.42578125" style="552" bestFit="1" customWidth="1"/>
    <col min="16" max="16" width="17.85546875" style="552" bestFit="1" customWidth="1"/>
    <col min="17" max="17" width="11.42578125" style="552"/>
    <col min="18" max="18" width="15.28515625" style="552" bestFit="1" customWidth="1"/>
    <col min="19" max="256" width="11.42578125" style="552"/>
    <col min="257" max="257" width="18" style="552" customWidth="1"/>
    <col min="258" max="258" width="13.7109375" style="552" bestFit="1" customWidth="1"/>
    <col min="259" max="259" width="18.42578125" style="552" bestFit="1" customWidth="1"/>
    <col min="260" max="269" width="13.7109375" style="552" bestFit="1" customWidth="1"/>
    <col min="270" max="270" width="15.28515625" style="552" bestFit="1" customWidth="1"/>
    <col min="271" max="271" width="11.42578125" style="552"/>
    <col min="272" max="272" width="13.7109375" style="552" bestFit="1" customWidth="1"/>
    <col min="273" max="512" width="11.42578125" style="552"/>
    <col min="513" max="513" width="18" style="552" customWidth="1"/>
    <col min="514" max="514" width="13.7109375" style="552" bestFit="1" customWidth="1"/>
    <col min="515" max="515" width="18.42578125" style="552" bestFit="1" customWidth="1"/>
    <col min="516" max="525" width="13.7109375" style="552" bestFit="1" customWidth="1"/>
    <col min="526" max="526" width="15.28515625" style="552" bestFit="1" customWidth="1"/>
    <col min="527" max="527" width="11.42578125" style="552"/>
    <col min="528" max="528" width="13.7109375" style="552" bestFit="1" customWidth="1"/>
    <col min="529" max="768" width="11.42578125" style="552"/>
    <col min="769" max="769" width="18" style="552" customWidth="1"/>
    <col min="770" max="770" width="13.7109375" style="552" bestFit="1" customWidth="1"/>
    <col min="771" max="771" width="18.42578125" style="552" bestFit="1" customWidth="1"/>
    <col min="772" max="781" width="13.7109375" style="552" bestFit="1" customWidth="1"/>
    <col min="782" max="782" width="15.28515625" style="552" bestFit="1" customWidth="1"/>
    <col min="783" max="783" width="11.42578125" style="552"/>
    <col min="784" max="784" width="13.7109375" style="552" bestFit="1" customWidth="1"/>
    <col min="785" max="1024" width="11.42578125" style="552"/>
    <col min="1025" max="1025" width="18" style="552" customWidth="1"/>
    <col min="1026" max="1026" width="13.7109375" style="552" bestFit="1" customWidth="1"/>
    <col min="1027" max="1027" width="18.42578125" style="552" bestFit="1" customWidth="1"/>
    <col min="1028" max="1037" width="13.7109375" style="552" bestFit="1" customWidth="1"/>
    <col min="1038" max="1038" width="15.28515625" style="552" bestFit="1" customWidth="1"/>
    <col min="1039" max="1039" width="11.42578125" style="552"/>
    <col min="1040" max="1040" width="13.7109375" style="552" bestFit="1" customWidth="1"/>
    <col min="1041" max="1280" width="11.42578125" style="552"/>
    <col min="1281" max="1281" width="18" style="552" customWidth="1"/>
    <col min="1282" max="1282" width="13.7109375" style="552" bestFit="1" customWidth="1"/>
    <col min="1283" max="1283" width="18.42578125" style="552" bestFit="1" customWidth="1"/>
    <col min="1284" max="1293" width="13.7109375" style="552" bestFit="1" customWidth="1"/>
    <col min="1294" max="1294" width="15.28515625" style="552" bestFit="1" customWidth="1"/>
    <col min="1295" max="1295" width="11.42578125" style="552"/>
    <col min="1296" max="1296" width="13.7109375" style="552" bestFit="1" customWidth="1"/>
    <col min="1297" max="1536" width="11.42578125" style="552"/>
    <col min="1537" max="1537" width="18" style="552" customWidth="1"/>
    <col min="1538" max="1538" width="13.7109375" style="552" bestFit="1" customWidth="1"/>
    <col min="1539" max="1539" width="18.42578125" style="552" bestFit="1" customWidth="1"/>
    <col min="1540" max="1549" width="13.7109375" style="552" bestFit="1" customWidth="1"/>
    <col min="1550" max="1550" width="15.28515625" style="552" bestFit="1" customWidth="1"/>
    <col min="1551" max="1551" width="11.42578125" style="552"/>
    <col min="1552" max="1552" width="13.7109375" style="552" bestFit="1" customWidth="1"/>
    <col min="1553" max="1792" width="11.42578125" style="552"/>
    <col min="1793" max="1793" width="18" style="552" customWidth="1"/>
    <col min="1794" max="1794" width="13.7109375" style="552" bestFit="1" customWidth="1"/>
    <col min="1795" max="1795" width="18.42578125" style="552" bestFit="1" customWidth="1"/>
    <col min="1796" max="1805" width="13.7109375" style="552" bestFit="1" customWidth="1"/>
    <col min="1806" max="1806" width="15.28515625" style="552" bestFit="1" customWidth="1"/>
    <col min="1807" max="1807" width="11.42578125" style="552"/>
    <col min="1808" max="1808" width="13.7109375" style="552" bestFit="1" customWidth="1"/>
    <col min="1809" max="2048" width="11.42578125" style="552"/>
    <col min="2049" max="2049" width="18" style="552" customWidth="1"/>
    <col min="2050" max="2050" width="13.7109375" style="552" bestFit="1" customWidth="1"/>
    <col min="2051" max="2051" width="18.42578125" style="552" bestFit="1" customWidth="1"/>
    <col min="2052" max="2061" width="13.7109375" style="552" bestFit="1" customWidth="1"/>
    <col min="2062" max="2062" width="15.28515625" style="552" bestFit="1" customWidth="1"/>
    <col min="2063" max="2063" width="11.42578125" style="552"/>
    <col min="2064" max="2064" width="13.7109375" style="552" bestFit="1" customWidth="1"/>
    <col min="2065" max="2304" width="11.42578125" style="552"/>
    <col min="2305" max="2305" width="18" style="552" customWidth="1"/>
    <col min="2306" max="2306" width="13.7109375" style="552" bestFit="1" customWidth="1"/>
    <col min="2307" max="2307" width="18.42578125" style="552" bestFit="1" customWidth="1"/>
    <col min="2308" max="2317" width="13.7109375" style="552" bestFit="1" customWidth="1"/>
    <col min="2318" max="2318" width="15.28515625" style="552" bestFit="1" customWidth="1"/>
    <col min="2319" max="2319" width="11.42578125" style="552"/>
    <col min="2320" max="2320" width="13.7109375" style="552" bestFit="1" customWidth="1"/>
    <col min="2321" max="2560" width="11.42578125" style="552"/>
    <col min="2561" max="2561" width="18" style="552" customWidth="1"/>
    <col min="2562" max="2562" width="13.7109375" style="552" bestFit="1" customWidth="1"/>
    <col min="2563" max="2563" width="18.42578125" style="552" bestFit="1" customWidth="1"/>
    <col min="2564" max="2573" width="13.7109375" style="552" bestFit="1" customWidth="1"/>
    <col min="2574" max="2574" width="15.28515625" style="552" bestFit="1" customWidth="1"/>
    <col min="2575" max="2575" width="11.42578125" style="552"/>
    <col min="2576" max="2576" width="13.7109375" style="552" bestFit="1" customWidth="1"/>
    <col min="2577" max="2816" width="11.42578125" style="552"/>
    <col min="2817" max="2817" width="18" style="552" customWidth="1"/>
    <col min="2818" max="2818" width="13.7109375" style="552" bestFit="1" customWidth="1"/>
    <col min="2819" max="2819" width="18.42578125" style="552" bestFit="1" customWidth="1"/>
    <col min="2820" max="2829" width="13.7109375" style="552" bestFit="1" customWidth="1"/>
    <col min="2830" max="2830" width="15.28515625" style="552" bestFit="1" customWidth="1"/>
    <col min="2831" max="2831" width="11.42578125" style="552"/>
    <col min="2832" max="2832" width="13.7109375" style="552" bestFit="1" customWidth="1"/>
    <col min="2833" max="3072" width="11.42578125" style="552"/>
    <col min="3073" max="3073" width="18" style="552" customWidth="1"/>
    <col min="3074" max="3074" width="13.7109375" style="552" bestFit="1" customWidth="1"/>
    <col min="3075" max="3075" width="18.42578125" style="552" bestFit="1" customWidth="1"/>
    <col min="3076" max="3085" width="13.7109375" style="552" bestFit="1" customWidth="1"/>
    <col min="3086" max="3086" width="15.28515625" style="552" bestFit="1" customWidth="1"/>
    <col min="3087" max="3087" width="11.42578125" style="552"/>
    <col min="3088" max="3088" width="13.7109375" style="552" bestFit="1" customWidth="1"/>
    <col min="3089" max="3328" width="11.42578125" style="552"/>
    <col min="3329" max="3329" width="18" style="552" customWidth="1"/>
    <col min="3330" max="3330" width="13.7109375" style="552" bestFit="1" customWidth="1"/>
    <col min="3331" max="3331" width="18.42578125" style="552" bestFit="1" customWidth="1"/>
    <col min="3332" max="3341" width="13.7109375" style="552" bestFit="1" customWidth="1"/>
    <col min="3342" max="3342" width="15.28515625" style="552" bestFit="1" customWidth="1"/>
    <col min="3343" max="3343" width="11.42578125" style="552"/>
    <col min="3344" max="3344" width="13.7109375" style="552" bestFit="1" customWidth="1"/>
    <col min="3345" max="3584" width="11.42578125" style="552"/>
    <col min="3585" max="3585" width="18" style="552" customWidth="1"/>
    <col min="3586" max="3586" width="13.7109375" style="552" bestFit="1" customWidth="1"/>
    <col min="3587" max="3587" width="18.42578125" style="552" bestFit="1" customWidth="1"/>
    <col min="3588" max="3597" width="13.7109375" style="552" bestFit="1" customWidth="1"/>
    <col min="3598" max="3598" width="15.28515625" style="552" bestFit="1" customWidth="1"/>
    <col min="3599" max="3599" width="11.42578125" style="552"/>
    <col min="3600" max="3600" width="13.7109375" style="552" bestFit="1" customWidth="1"/>
    <col min="3601" max="3840" width="11.42578125" style="552"/>
    <col min="3841" max="3841" width="18" style="552" customWidth="1"/>
    <col min="3842" max="3842" width="13.7109375" style="552" bestFit="1" customWidth="1"/>
    <col min="3843" max="3843" width="18.42578125" style="552" bestFit="1" customWidth="1"/>
    <col min="3844" max="3853" width="13.7109375" style="552" bestFit="1" customWidth="1"/>
    <col min="3854" max="3854" width="15.28515625" style="552" bestFit="1" customWidth="1"/>
    <col min="3855" max="3855" width="11.42578125" style="552"/>
    <col min="3856" max="3856" width="13.7109375" style="552" bestFit="1" customWidth="1"/>
    <col min="3857" max="4096" width="11.42578125" style="552"/>
    <col min="4097" max="4097" width="18" style="552" customWidth="1"/>
    <col min="4098" max="4098" width="13.7109375" style="552" bestFit="1" customWidth="1"/>
    <col min="4099" max="4099" width="18.42578125" style="552" bestFit="1" customWidth="1"/>
    <col min="4100" max="4109" width="13.7109375" style="552" bestFit="1" customWidth="1"/>
    <col min="4110" max="4110" width="15.28515625" style="552" bestFit="1" customWidth="1"/>
    <col min="4111" max="4111" width="11.42578125" style="552"/>
    <col min="4112" max="4112" width="13.7109375" style="552" bestFit="1" customWidth="1"/>
    <col min="4113" max="4352" width="11.42578125" style="552"/>
    <col min="4353" max="4353" width="18" style="552" customWidth="1"/>
    <col min="4354" max="4354" width="13.7109375" style="552" bestFit="1" customWidth="1"/>
    <col min="4355" max="4355" width="18.42578125" style="552" bestFit="1" customWidth="1"/>
    <col min="4356" max="4365" width="13.7109375" style="552" bestFit="1" customWidth="1"/>
    <col min="4366" max="4366" width="15.28515625" style="552" bestFit="1" customWidth="1"/>
    <col min="4367" max="4367" width="11.42578125" style="552"/>
    <col min="4368" max="4368" width="13.7109375" style="552" bestFit="1" customWidth="1"/>
    <col min="4369" max="4608" width="11.42578125" style="552"/>
    <col min="4609" max="4609" width="18" style="552" customWidth="1"/>
    <col min="4610" max="4610" width="13.7109375" style="552" bestFit="1" customWidth="1"/>
    <col min="4611" max="4611" width="18.42578125" style="552" bestFit="1" customWidth="1"/>
    <col min="4612" max="4621" width="13.7109375" style="552" bestFit="1" customWidth="1"/>
    <col min="4622" max="4622" width="15.28515625" style="552" bestFit="1" customWidth="1"/>
    <col min="4623" max="4623" width="11.42578125" style="552"/>
    <col min="4624" max="4624" width="13.7109375" style="552" bestFit="1" customWidth="1"/>
    <col min="4625" max="4864" width="11.42578125" style="552"/>
    <col min="4865" max="4865" width="18" style="552" customWidth="1"/>
    <col min="4866" max="4866" width="13.7109375" style="552" bestFit="1" customWidth="1"/>
    <col min="4867" max="4867" width="18.42578125" style="552" bestFit="1" customWidth="1"/>
    <col min="4868" max="4877" width="13.7109375" style="552" bestFit="1" customWidth="1"/>
    <col min="4878" max="4878" width="15.28515625" style="552" bestFit="1" customWidth="1"/>
    <col min="4879" max="4879" width="11.42578125" style="552"/>
    <col min="4880" max="4880" width="13.7109375" style="552" bestFit="1" customWidth="1"/>
    <col min="4881" max="5120" width="11.42578125" style="552"/>
    <col min="5121" max="5121" width="18" style="552" customWidth="1"/>
    <col min="5122" max="5122" width="13.7109375" style="552" bestFit="1" customWidth="1"/>
    <col min="5123" max="5123" width="18.42578125" style="552" bestFit="1" customWidth="1"/>
    <col min="5124" max="5133" width="13.7109375" style="552" bestFit="1" customWidth="1"/>
    <col min="5134" max="5134" width="15.28515625" style="552" bestFit="1" customWidth="1"/>
    <col min="5135" max="5135" width="11.42578125" style="552"/>
    <col min="5136" max="5136" width="13.7109375" style="552" bestFit="1" customWidth="1"/>
    <col min="5137" max="5376" width="11.42578125" style="552"/>
    <col min="5377" max="5377" width="18" style="552" customWidth="1"/>
    <col min="5378" max="5378" width="13.7109375" style="552" bestFit="1" customWidth="1"/>
    <col min="5379" max="5379" width="18.42578125" style="552" bestFit="1" customWidth="1"/>
    <col min="5380" max="5389" width="13.7109375" style="552" bestFit="1" customWidth="1"/>
    <col min="5390" max="5390" width="15.28515625" style="552" bestFit="1" customWidth="1"/>
    <col min="5391" max="5391" width="11.42578125" style="552"/>
    <col min="5392" max="5392" width="13.7109375" style="552" bestFit="1" customWidth="1"/>
    <col min="5393" max="5632" width="11.42578125" style="552"/>
    <col min="5633" max="5633" width="18" style="552" customWidth="1"/>
    <col min="5634" max="5634" width="13.7109375" style="552" bestFit="1" customWidth="1"/>
    <col min="5635" max="5635" width="18.42578125" style="552" bestFit="1" customWidth="1"/>
    <col min="5636" max="5645" width="13.7109375" style="552" bestFit="1" customWidth="1"/>
    <col min="5646" max="5646" width="15.28515625" style="552" bestFit="1" customWidth="1"/>
    <col min="5647" max="5647" width="11.42578125" style="552"/>
    <col min="5648" max="5648" width="13.7109375" style="552" bestFit="1" customWidth="1"/>
    <col min="5649" max="5888" width="11.42578125" style="552"/>
    <col min="5889" max="5889" width="18" style="552" customWidth="1"/>
    <col min="5890" max="5890" width="13.7109375" style="552" bestFit="1" customWidth="1"/>
    <col min="5891" max="5891" width="18.42578125" style="552" bestFit="1" customWidth="1"/>
    <col min="5892" max="5901" width="13.7109375" style="552" bestFit="1" customWidth="1"/>
    <col min="5902" max="5902" width="15.28515625" style="552" bestFit="1" customWidth="1"/>
    <col min="5903" max="5903" width="11.42578125" style="552"/>
    <col min="5904" max="5904" width="13.7109375" style="552" bestFit="1" customWidth="1"/>
    <col min="5905" max="6144" width="11.42578125" style="552"/>
    <col min="6145" max="6145" width="18" style="552" customWidth="1"/>
    <col min="6146" max="6146" width="13.7109375" style="552" bestFit="1" customWidth="1"/>
    <col min="6147" max="6147" width="18.42578125" style="552" bestFit="1" customWidth="1"/>
    <col min="6148" max="6157" width="13.7109375" style="552" bestFit="1" customWidth="1"/>
    <col min="6158" max="6158" width="15.28515625" style="552" bestFit="1" customWidth="1"/>
    <col min="6159" max="6159" width="11.42578125" style="552"/>
    <col min="6160" max="6160" width="13.7109375" style="552" bestFit="1" customWidth="1"/>
    <col min="6161" max="6400" width="11.42578125" style="552"/>
    <col min="6401" max="6401" width="18" style="552" customWidth="1"/>
    <col min="6402" max="6402" width="13.7109375" style="552" bestFit="1" customWidth="1"/>
    <col min="6403" max="6403" width="18.42578125" style="552" bestFit="1" customWidth="1"/>
    <col min="6404" max="6413" width="13.7109375" style="552" bestFit="1" customWidth="1"/>
    <col min="6414" max="6414" width="15.28515625" style="552" bestFit="1" customWidth="1"/>
    <col min="6415" max="6415" width="11.42578125" style="552"/>
    <col min="6416" max="6416" width="13.7109375" style="552" bestFit="1" customWidth="1"/>
    <col min="6417" max="6656" width="11.42578125" style="552"/>
    <col min="6657" max="6657" width="18" style="552" customWidth="1"/>
    <col min="6658" max="6658" width="13.7109375" style="552" bestFit="1" customWidth="1"/>
    <col min="6659" max="6659" width="18.42578125" style="552" bestFit="1" customWidth="1"/>
    <col min="6660" max="6669" width="13.7109375" style="552" bestFit="1" customWidth="1"/>
    <col min="6670" max="6670" width="15.28515625" style="552" bestFit="1" customWidth="1"/>
    <col min="6671" max="6671" width="11.42578125" style="552"/>
    <col min="6672" max="6672" width="13.7109375" style="552" bestFit="1" customWidth="1"/>
    <col min="6673" max="6912" width="11.42578125" style="552"/>
    <col min="6913" max="6913" width="18" style="552" customWidth="1"/>
    <col min="6914" max="6914" width="13.7109375" style="552" bestFit="1" customWidth="1"/>
    <col min="6915" max="6915" width="18.42578125" style="552" bestFit="1" customWidth="1"/>
    <col min="6916" max="6925" width="13.7109375" style="552" bestFit="1" customWidth="1"/>
    <col min="6926" max="6926" width="15.28515625" style="552" bestFit="1" customWidth="1"/>
    <col min="6927" max="6927" width="11.42578125" style="552"/>
    <col min="6928" max="6928" width="13.7109375" style="552" bestFit="1" customWidth="1"/>
    <col min="6929" max="7168" width="11.42578125" style="552"/>
    <col min="7169" max="7169" width="18" style="552" customWidth="1"/>
    <col min="7170" max="7170" width="13.7109375" style="552" bestFit="1" customWidth="1"/>
    <col min="7171" max="7171" width="18.42578125" style="552" bestFit="1" customWidth="1"/>
    <col min="7172" max="7181" width="13.7109375" style="552" bestFit="1" customWidth="1"/>
    <col min="7182" max="7182" width="15.28515625" style="552" bestFit="1" customWidth="1"/>
    <col min="7183" max="7183" width="11.42578125" style="552"/>
    <col min="7184" max="7184" width="13.7109375" style="552" bestFit="1" customWidth="1"/>
    <col min="7185" max="7424" width="11.42578125" style="552"/>
    <col min="7425" max="7425" width="18" style="552" customWidth="1"/>
    <col min="7426" max="7426" width="13.7109375" style="552" bestFit="1" customWidth="1"/>
    <col min="7427" max="7427" width="18.42578125" style="552" bestFit="1" customWidth="1"/>
    <col min="7428" max="7437" width="13.7109375" style="552" bestFit="1" customWidth="1"/>
    <col min="7438" max="7438" width="15.28515625" style="552" bestFit="1" customWidth="1"/>
    <col min="7439" max="7439" width="11.42578125" style="552"/>
    <col min="7440" max="7440" width="13.7109375" style="552" bestFit="1" customWidth="1"/>
    <col min="7441" max="7680" width="11.42578125" style="552"/>
    <col min="7681" max="7681" width="18" style="552" customWidth="1"/>
    <col min="7682" max="7682" width="13.7109375" style="552" bestFit="1" customWidth="1"/>
    <col min="7683" max="7683" width="18.42578125" style="552" bestFit="1" customWidth="1"/>
    <col min="7684" max="7693" width="13.7109375" style="552" bestFit="1" customWidth="1"/>
    <col min="7694" max="7694" width="15.28515625" style="552" bestFit="1" customWidth="1"/>
    <col min="7695" max="7695" width="11.42578125" style="552"/>
    <col min="7696" max="7696" width="13.7109375" style="552" bestFit="1" customWidth="1"/>
    <col min="7697" max="7936" width="11.42578125" style="552"/>
    <col min="7937" max="7937" width="18" style="552" customWidth="1"/>
    <col min="7938" max="7938" width="13.7109375" style="552" bestFit="1" customWidth="1"/>
    <col min="7939" max="7939" width="18.42578125" style="552" bestFit="1" customWidth="1"/>
    <col min="7940" max="7949" width="13.7109375" style="552" bestFit="1" customWidth="1"/>
    <col min="7950" max="7950" width="15.28515625" style="552" bestFit="1" customWidth="1"/>
    <col min="7951" max="7951" width="11.42578125" style="552"/>
    <col min="7952" max="7952" width="13.7109375" style="552" bestFit="1" customWidth="1"/>
    <col min="7953" max="8192" width="11.42578125" style="552"/>
    <col min="8193" max="8193" width="18" style="552" customWidth="1"/>
    <col min="8194" max="8194" width="13.7109375" style="552" bestFit="1" customWidth="1"/>
    <col min="8195" max="8195" width="18.42578125" style="552" bestFit="1" customWidth="1"/>
    <col min="8196" max="8205" width="13.7109375" style="552" bestFit="1" customWidth="1"/>
    <col min="8206" max="8206" width="15.28515625" style="552" bestFit="1" customWidth="1"/>
    <col min="8207" max="8207" width="11.42578125" style="552"/>
    <col min="8208" max="8208" width="13.7109375" style="552" bestFit="1" customWidth="1"/>
    <col min="8209" max="8448" width="11.42578125" style="552"/>
    <col min="8449" max="8449" width="18" style="552" customWidth="1"/>
    <col min="8450" max="8450" width="13.7109375" style="552" bestFit="1" customWidth="1"/>
    <col min="8451" max="8451" width="18.42578125" style="552" bestFit="1" customWidth="1"/>
    <col min="8452" max="8461" width="13.7109375" style="552" bestFit="1" customWidth="1"/>
    <col min="8462" max="8462" width="15.28515625" style="552" bestFit="1" customWidth="1"/>
    <col min="8463" max="8463" width="11.42578125" style="552"/>
    <col min="8464" max="8464" width="13.7109375" style="552" bestFit="1" customWidth="1"/>
    <col min="8465" max="8704" width="11.42578125" style="552"/>
    <col min="8705" max="8705" width="18" style="552" customWidth="1"/>
    <col min="8706" max="8706" width="13.7109375" style="552" bestFit="1" customWidth="1"/>
    <col min="8707" max="8707" width="18.42578125" style="552" bestFit="1" customWidth="1"/>
    <col min="8708" max="8717" width="13.7109375" style="552" bestFit="1" customWidth="1"/>
    <col min="8718" max="8718" width="15.28515625" style="552" bestFit="1" customWidth="1"/>
    <col min="8719" max="8719" width="11.42578125" style="552"/>
    <col min="8720" max="8720" width="13.7109375" style="552" bestFit="1" customWidth="1"/>
    <col min="8721" max="8960" width="11.42578125" style="552"/>
    <col min="8961" max="8961" width="18" style="552" customWidth="1"/>
    <col min="8962" max="8962" width="13.7109375" style="552" bestFit="1" customWidth="1"/>
    <col min="8963" max="8963" width="18.42578125" style="552" bestFit="1" customWidth="1"/>
    <col min="8964" max="8973" width="13.7109375" style="552" bestFit="1" customWidth="1"/>
    <col min="8974" max="8974" width="15.28515625" style="552" bestFit="1" customWidth="1"/>
    <col min="8975" max="8975" width="11.42578125" style="552"/>
    <col min="8976" max="8976" width="13.7109375" style="552" bestFit="1" customWidth="1"/>
    <col min="8977" max="9216" width="11.42578125" style="552"/>
    <col min="9217" max="9217" width="18" style="552" customWidth="1"/>
    <col min="9218" max="9218" width="13.7109375" style="552" bestFit="1" customWidth="1"/>
    <col min="9219" max="9219" width="18.42578125" style="552" bestFit="1" customWidth="1"/>
    <col min="9220" max="9229" width="13.7109375" style="552" bestFit="1" customWidth="1"/>
    <col min="9230" max="9230" width="15.28515625" style="552" bestFit="1" customWidth="1"/>
    <col min="9231" max="9231" width="11.42578125" style="552"/>
    <col min="9232" max="9232" width="13.7109375" style="552" bestFit="1" customWidth="1"/>
    <col min="9233" max="9472" width="11.42578125" style="552"/>
    <col min="9473" max="9473" width="18" style="552" customWidth="1"/>
    <col min="9474" max="9474" width="13.7109375" style="552" bestFit="1" customWidth="1"/>
    <col min="9475" max="9475" width="18.42578125" style="552" bestFit="1" customWidth="1"/>
    <col min="9476" max="9485" width="13.7109375" style="552" bestFit="1" customWidth="1"/>
    <col min="9486" max="9486" width="15.28515625" style="552" bestFit="1" customWidth="1"/>
    <col min="9487" max="9487" width="11.42578125" style="552"/>
    <col min="9488" max="9488" width="13.7109375" style="552" bestFit="1" customWidth="1"/>
    <col min="9489" max="9728" width="11.42578125" style="552"/>
    <col min="9729" max="9729" width="18" style="552" customWidth="1"/>
    <col min="9730" max="9730" width="13.7109375" style="552" bestFit="1" customWidth="1"/>
    <col min="9731" max="9731" width="18.42578125" style="552" bestFit="1" customWidth="1"/>
    <col min="9732" max="9741" width="13.7109375" style="552" bestFit="1" customWidth="1"/>
    <col min="9742" max="9742" width="15.28515625" style="552" bestFit="1" customWidth="1"/>
    <col min="9743" max="9743" width="11.42578125" style="552"/>
    <col min="9744" max="9744" width="13.7109375" style="552" bestFit="1" customWidth="1"/>
    <col min="9745" max="9984" width="11.42578125" style="552"/>
    <col min="9985" max="9985" width="18" style="552" customWidth="1"/>
    <col min="9986" max="9986" width="13.7109375" style="552" bestFit="1" customWidth="1"/>
    <col min="9987" max="9987" width="18.42578125" style="552" bestFit="1" customWidth="1"/>
    <col min="9988" max="9997" width="13.7109375" style="552" bestFit="1" customWidth="1"/>
    <col min="9998" max="9998" width="15.28515625" style="552" bestFit="1" customWidth="1"/>
    <col min="9999" max="9999" width="11.42578125" style="552"/>
    <col min="10000" max="10000" width="13.7109375" style="552" bestFit="1" customWidth="1"/>
    <col min="10001" max="10240" width="11.42578125" style="552"/>
    <col min="10241" max="10241" width="18" style="552" customWidth="1"/>
    <col min="10242" max="10242" width="13.7109375" style="552" bestFit="1" customWidth="1"/>
    <col min="10243" max="10243" width="18.42578125" style="552" bestFit="1" customWidth="1"/>
    <col min="10244" max="10253" width="13.7109375" style="552" bestFit="1" customWidth="1"/>
    <col min="10254" max="10254" width="15.28515625" style="552" bestFit="1" customWidth="1"/>
    <col min="10255" max="10255" width="11.42578125" style="552"/>
    <col min="10256" max="10256" width="13.7109375" style="552" bestFit="1" customWidth="1"/>
    <col min="10257" max="10496" width="11.42578125" style="552"/>
    <col min="10497" max="10497" width="18" style="552" customWidth="1"/>
    <col min="10498" max="10498" width="13.7109375" style="552" bestFit="1" customWidth="1"/>
    <col min="10499" max="10499" width="18.42578125" style="552" bestFit="1" customWidth="1"/>
    <col min="10500" max="10509" width="13.7109375" style="552" bestFit="1" customWidth="1"/>
    <col min="10510" max="10510" width="15.28515625" style="552" bestFit="1" customWidth="1"/>
    <col min="10511" max="10511" width="11.42578125" style="552"/>
    <col min="10512" max="10512" width="13.7109375" style="552" bestFit="1" customWidth="1"/>
    <col min="10513" max="10752" width="11.42578125" style="552"/>
    <col min="10753" max="10753" width="18" style="552" customWidth="1"/>
    <col min="10754" max="10754" width="13.7109375" style="552" bestFit="1" customWidth="1"/>
    <col min="10755" max="10755" width="18.42578125" style="552" bestFit="1" customWidth="1"/>
    <col min="10756" max="10765" width="13.7109375" style="552" bestFit="1" customWidth="1"/>
    <col min="10766" max="10766" width="15.28515625" style="552" bestFit="1" customWidth="1"/>
    <col min="10767" max="10767" width="11.42578125" style="552"/>
    <col min="10768" max="10768" width="13.7109375" style="552" bestFit="1" customWidth="1"/>
    <col min="10769" max="11008" width="11.42578125" style="552"/>
    <col min="11009" max="11009" width="18" style="552" customWidth="1"/>
    <col min="11010" max="11010" width="13.7109375" style="552" bestFit="1" customWidth="1"/>
    <col min="11011" max="11011" width="18.42578125" style="552" bestFit="1" customWidth="1"/>
    <col min="11012" max="11021" width="13.7109375" style="552" bestFit="1" customWidth="1"/>
    <col min="11022" max="11022" width="15.28515625" style="552" bestFit="1" customWidth="1"/>
    <col min="11023" max="11023" width="11.42578125" style="552"/>
    <col min="11024" max="11024" width="13.7109375" style="552" bestFit="1" customWidth="1"/>
    <col min="11025" max="11264" width="11.42578125" style="552"/>
    <col min="11265" max="11265" width="18" style="552" customWidth="1"/>
    <col min="11266" max="11266" width="13.7109375" style="552" bestFit="1" customWidth="1"/>
    <col min="11267" max="11267" width="18.42578125" style="552" bestFit="1" customWidth="1"/>
    <col min="11268" max="11277" width="13.7109375" style="552" bestFit="1" customWidth="1"/>
    <col min="11278" max="11278" width="15.28515625" style="552" bestFit="1" customWidth="1"/>
    <col min="11279" max="11279" width="11.42578125" style="552"/>
    <col min="11280" max="11280" width="13.7109375" style="552" bestFit="1" customWidth="1"/>
    <col min="11281" max="11520" width="11.42578125" style="552"/>
    <col min="11521" max="11521" width="18" style="552" customWidth="1"/>
    <col min="11522" max="11522" width="13.7109375" style="552" bestFit="1" customWidth="1"/>
    <col min="11523" max="11523" width="18.42578125" style="552" bestFit="1" customWidth="1"/>
    <col min="11524" max="11533" width="13.7109375" style="552" bestFit="1" customWidth="1"/>
    <col min="11534" max="11534" width="15.28515625" style="552" bestFit="1" customWidth="1"/>
    <col min="11535" max="11535" width="11.42578125" style="552"/>
    <col min="11536" max="11536" width="13.7109375" style="552" bestFit="1" customWidth="1"/>
    <col min="11537" max="11776" width="11.42578125" style="552"/>
    <col min="11777" max="11777" width="18" style="552" customWidth="1"/>
    <col min="11778" max="11778" width="13.7109375" style="552" bestFit="1" customWidth="1"/>
    <col min="11779" max="11779" width="18.42578125" style="552" bestFit="1" customWidth="1"/>
    <col min="11780" max="11789" width="13.7109375" style="552" bestFit="1" customWidth="1"/>
    <col min="11790" max="11790" width="15.28515625" style="552" bestFit="1" customWidth="1"/>
    <col min="11791" max="11791" width="11.42578125" style="552"/>
    <col min="11792" max="11792" width="13.7109375" style="552" bestFit="1" customWidth="1"/>
    <col min="11793" max="12032" width="11.42578125" style="552"/>
    <col min="12033" max="12033" width="18" style="552" customWidth="1"/>
    <col min="12034" max="12034" width="13.7109375" style="552" bestFit="1" customWidth="1"/>
    <col min="12035" max="12035" width="18.42578125" style="552" bestFit="1" customWidth="1"/>
    <col min="12036" max="12045" width="13.7109375" style="552" bestFit="1" customWidth="1"/>
    <col min="12046" max="12046" width="15.28515625" style="552" bestFit="1" customWidth="1"/>
    <col min="12047" max="12047" width="11.42578125" style="552"/>
    <col min="12048" max="12048" width="13.7109375" style="552" bestFit="1" customWidth="1"/>
    <col min="12049" max="12288" width="11.42578125" style="552"/>
    <col min="12289" max="12289" width="18" style="552" customWidth="1"/>
    <col min="12290" max="12290" width="13.7109375" style="552" bestFit="1" customWidth="1"/>
    <col min="12291" max="12291" width="18.42578125" style="552" bestFit="1" customWidth="1"/>
    <col min="12292" max="12301" width="13.7109375" style="552" bestFit="1" customWidth="1"/>
    <col min="12302" max="12302" width="15.28515625" style="552" bestFit="1" customWidth="1"/>
    <col min="12303" max="12303" width="11.42578125" style="552"/>
    <col min="12304" max="12304" width="13.7109375" style="552" bestFit="1" customWidth="1"/>
    <col min="12305" max="12544" width="11.42578125" style="552"/>
    <col min="12545" max="12545" width="18" style="552" customWidth="1"/>
    <col min="12546" max="12546" width="13.7109375" style="552" bestFit="1" customWidth="1"/>
    <col min="12547" max="12547" width="18.42578125" style="552" bestFit="1" customWidth="1"/>
    <col min="12548" max="12557" width="13.7109375" style="552" bestFit="1" customWidth="1"/>
    <col min="12558" max="12558" width="15.28515625" style="552" bestFit="1" customWidth="1"/>
    <col min="12559" max="12559" width="11.42578125" style="552"/>
    <col min="12560" max="12560" width="13.7109375" style="552" bestFit="1" customWidth="1"/>
    <col min="12561" max="12800" width="11.42578125" style="552"/>
    <col min="12801" max="12801" width="18" style="552" customWidth="1"/>
    <col min="12802" max="12802" width="13.7109375" style="552" bestFit="1" customWidth="1"/>
    <col min="12803" max="12803" width="18.42578125" style="552" bestFit="1" customWidth="1"/>
    <col min="12804" max="12813" width="13.7109375" style="552" bestFit="1" customWidth="1"/>
    <col min="12814" max="12814" width="15.28515625" style="552" bestFit="1" customWidth="1"/>
    <col min="12815" max="12815" width="11.42578125" style="552"/>
    <col min="12816" max="12816" width="13.7109375" style="552" bestFit="1" customWidth="1"/>
    <col min="12817" max="13056" width="11.42578125" style="552"/>
    <col min="13057" max="13057" width="18" style="552" customWidth="1"/>
    <col min="13058" max="13058" width="13.7109375" style="552" bestFit="1" customWidth="1"/>
    <col min="13059" max="13059" width="18.42578125" style="552" bestFit="1" customWidth="1"/>
    <col min="13060" max="13069" width="13.7109375" style="552" bestFit="1" customWidth="1"/>
    <col min="13070" max="13070" width="15.28515625" style="552" bestFit="1" customWidth="1"/>
    <col min="13071" max="13071" width="11.42578125" style="552"/>
    <col min="13072" max="13072" width="13.7109375" style="552" bestFit="1" customWidth="1"/>
    <col min="13073" max="13312" width="11.42578125" style="552"/>
    <col min="13313" max="13313" width="18" style="552" customWidth="1"/>
    <col min="13314" max="13314" width="13.7109375" style="552" bestFit="1" customWidth="1"/>
    <col min="13315" max="13315" width="18.42578125" style="552" bestFit="1" customWidth="1"/>
    <col min="13316" max="13325" width="13.7109375" style="552" bestFit="1" customWidth="1"/>
    <col min="13326" max="13326" width="15.28515625" style="552" bestFit="1" customWidth="1"/>
    <col min="13327" max="13327" width="11.42578125" style="552"/>
    <col min="13328" max="13328" width="13.7109375" style="552" bestFit="1" customWidth="1"/>
    <col min="13329" max="13568" width="11.42578125" style="552"/>
    <col min="13569" max="13569" width="18" style="552" customWidth="1"/>
    <col min="13570" max="13570" width="13.7109375" style="552" bestFit="1" customWidth="1"/>
    <col min="13571" max="13571" width="18.42578125" style="552" bestFit="1" customWidth="1"/>
    <col min="13572" max="13581" width="13.7109375" style="552" bestFit="1" customWidth="1"/>
    <col min="13582" max="13582" width="15.28515625" style="552" bestFit="1" customWidth="1"/>
    <col min="13583" max="13583" width="11.42578125" style="552"/>
    <col min="13584" max="13584" width="13.7109375" style="552" bestFit="1" customWidth="1"/>
    <col min="13585" max="13824" width="11.42578125" style="552"/>
    <col min="13825" max="13825" width="18" style="552" customWidth="1"/>
    <col min="13826" max="13826" width="13.7109375" style="552" bestFit="1" customWidth="1"/>
    <col min="13827" max="13827" width="18.42578125" style="552" bestFit="1" customWidth="1"/>
    <col min="13828" max="13837" width="13.7109375" style="552" bestFit="1" customWidth="1"/>
    <col min="13838" max="13838" width="15.28515625" style="552" bestFit="1" customWidth="1"/>
    <col min="13839" max="13839" width="11.42578125" style="552"/>
    <col min="13840" max="13840" width="13.7109375" style="552" bestFit="1" customWidth="1"/>
    <col min="13841" max="14080" width="11.42578125" style="552"/>
    <col min="14081" max="14081" width="18" style="552" customWidth="1"/>
    <col min="14082" max="14082" width="13.7109375" style="552" bestFit="1" customWidth="1"/>
    <col min="14083" max="14083" width="18.42578125" style="552" bestFit="1" customWidth="1"/>
    <col min="14084" max="14093" width="13.7109375" style="552" bestFit="1" customWidth="1"/>
    <col min="14094" max="14094" width="15.28515625" style="552" bestFit="1" customWidth="1"/>
    <col min="14095" max="14095" width="11.42578125" style="552"/>
    <col min="14096" max="14096" width="13.7109375" style="552" bestFit="1" customWidth="1"/>
    <col min="14097" max="14336" width="11.42578125" style="552"/>
    <col min="14337" max="14337" width="18" style="552" customWidth="1"/>
    <col min="14338" max="14338" width="13.7109375" style="552" bestFit="1" customWidth="1"/>
    <col min="14339" max="14339" width="18.42578125" style="552" bestFit="1" customWidth="1"/>
    <col min="14340" max="14349" width="13.7109375" style="552" bestFit="1" customWidth="1"/>
    <col min="14350" max="14350" width="15.28515625" style="552" bestFit="1" customWidth="1"/>
    <col min="14351" max="14351" width="11.42578125" style="552"/>
    <col min="14352" max="14352" width="13.7109375" style="552" bestFit="1" customWidth="1"/>
    <col min="14353" max="14592" width="11.42578125" style="552"/>
    <col min="14593" max="14593" width="18" style="552" customWidth="1"/>
    <col min="14594" max="14594" width="13.7109375" style="552" bestFit="1" customWidth="1"/>
    <col min="14595" max="14595" width="18.42578125" style="552" bestFit="1" customWidth="1"/>
    <col min="14596" max="14605" width="13.7109375" style="552" bestFit="1" customWidth="1"/>
    <col min="14606" max="14606" width="15.28515625" style="552" bestFit="1" customWidth="1"/>
    <col min="14607" max="14607" width="11.42578125" style="552"/>
    <col min="14608" max="14608" width="13.7109375" style="552" bestFit="1" customWidth="1"/>
    <col min="14609" max="14848" width="11.42578125" style="552"/>
    <col min="14849" max="14849" width="18" style="552" customWidth="1"/>
    <col min="14850" max="14850" width="13.7109375" style="552" bestFit="1" customWidth="1"/>
    <col min="14851" max="14851" width="18.42578125" style="552" bestFit="1" customWidth="1"/>
    <col min="14852" max="14861" width="13.7109375" style="552" bestFit="1" customWidth="1"/>
    <col min="14862" max="14862" width="15.28515625" style="552" bestFit="1" customWidth="1"/>
    <col min="14863" max="14863" width="11.42578125" style="552"/>
    <col min="14864" max="14864" width="13.7109375" style="552" bestFit="1" customWidth="1"/>
    <col min="14865" max="15104" width="11.42578125" style="552"/>
    <col min="15105" max="15105" width="18" style="552" customWidth="1"/>
    <col min="15106" max="15106" width="13.7109375" style="552" bestFit="1" customWidth="1"/>
    <col min="15107" max="15107" width="18.42578125" style="552" bestFit="1" customWidth="1"/>
    <col min="15108" max="15117" width="13.7109375" style="552" bestFit="1" customWidth="1"/>
    <col min="15118" max="15118" width="15.28515625" style="552" bestFit="1" customWidth="1"/>
    <col min="15119" max="15119" width="11.42578125" style="552"/>
    <col min="15120" max="15120" width="13.7109375" style="552" bestFit="1" customWidth="1"/>
    <col min="15121" max="15360" width="11.42578125" style="552"/>
    <col min="15361" max="15361" width="18" style="552" customWidth="1"/>
    <col min="15362" max="15362" width="13.7109375" style="552" bestFit="1" customWidth="1"/>
    <col min="15363" max="15363" width="18.42578125" style="552" bestFit="1" customWidth="1"/>
    <col min="15364" max="15373" width="13.7109375" style="552" bestFit="1" customWidth="1"/>
    <col min="15374" max="15374" width="15.28515625" style="552" bestFit="1" customWidth="1"/>
    <col min="15375" max="15375" width="11.42578125" style="552"/>
    <col min="15376" max="15376" width="13.7109375" style="552" bestFit="1" customWidth="1"/>
    <col min="15377" max="15616" width="11.42578125" style="552"/>
    <col min="15617" max="15617" width="18" style="552" customWidth="1"/>
    <col min="15618" max="15618" width="13.7109375" style="552" bestFit="1" customWidth="1"/>
    <col min="15619" max="15619" width="18.42578125" style="552" bestFit="1" customWidth="1"/>
    <col min="15620" max="15629" width="13.7109375" style="552" bestFit="1" customWidth="1"/>
    <col min="15630" max="15630" width="15.28515625" style="552" bestFit="1" customWidth="1"/>
    <col min="15631" max="15631" width="11.42578125" style="552"/>
    <col min="15632" max="15632" width="13.7109375" style="552" bestFit="1" customWidth="1"/>
    <col min="15633" max="15872" width="11.42578125" style="552"/>
    <col min="15873" max="15873" width="18" style="552" customWidth="1"/>
    <col min="15874" max="15874" width="13.7109375" style="552" bestFit="1" customWidth="1"/>
    <col min="15875" max="15875" width="18.42578125" style="552" bestFit="1" customWidth="1"/>
    <col min="15876" max="15885" width="13.7109375" style="552" bestFit="1" customWidth="1"/>
    <col min="15886" max="15886" width="15.28515625" style="552" bestFit="1" customWidth="1"/>
    <col min="15887" max="15887" width="11.42578125" style="552"/>
    <col min="15888" max="15888" width="13.7109375" style="552" bestFit="1" customWidth="1"/>
    <col min="15889" max="16128" width="11.42578125" style="552"/>
    <col min="16129" max="16129" width="18" style="552" customWidth="1"/>
    <col min="16130" max="16130" width="13.7109375" style="552" bestFit="1" customWidth="1"/>
    <col min="16131" max="16131" width="18.42578125" style="552" bestFit="1" customWidth="1"/>
    <col min="16132" max="16141" width="13.7109375" style="552" bestFit="1" customWidth="1"/>
    <col min="16142" max="16142" width="15.28515625" style="552" bestFit="1" customWidth="1"/>
    <col min="16143" max="16143" width="11.42578125" style="552"/>
    <col min="16144" max="16144" width="13.7109375" style="552" bestFit="1" customWidth="1"/>
    <col min="16145" max="16384" width="11.42578125" style="552"/>
  </cols>
  <sheetData>
    <row r="1" spans="1:16" ht="15.75" x14ac:dyDescent="0.25">
      <c r="A1" s="1213" t="s">
        <v>269</v>
      </c>
      <c r="B1" s="1213"/>
      <c r="C1" s="1213"/>
      <c r="D1" s="1213"/>
      <c r="E1" s="1213"/>
      <c r="F1" s="1213"/>
      <c r="G1" s="1213"/>
      <c r="H1" s="1213"/>
      <c r="I1" s="1213"/>
      <c r="J1" s="1213"/>
      <c r="K1" s="1213"/>
      <c r="L1" s="1213"/>
      <c r="M1" s="1213"/>
    </row>
    <row r="2" spans="1:16" x14ac:dyDescent="0.2">
      <c r="A2" s="1214" t="s">
        <v>270</v>
      </c>
      <c r="B2" s="1214"/>
      <c r="C2" s="1214"/>
      <c r="D2" s="1214"/>
      <c r="E2" s="1214"/>
      <c r="F2" s="1214"/>
      <c r="G2" s="1214"/>
      <c r="H2" s="1214"/>
      <c r="I2" s="1214"/>
      <c r="J2" s="1214"/>
      <c r="K2" s="1214"/>
      <c r="L2" s="1214"/>
      <c r="M2" s="1214"/>
      <c r="N2" s="641"/>
    </row>
    <row r="3" spans="1:16" x14ac:dyDescent="0.2">
      <c r="A3" s="1214" t="s">
        <v>271</v>
      </c>
      <c r="B3" s="1214"/>
      <c r="C3" s="1214"/>
      <c r="D3" s="1214"/>
      <c r="E3" s="1214"/>
      <c r="F3" s="1214"/>
      <c r="G3" s="1214"/>
      <c r="H3" s="1214"/>
      <c r="I3" s="1214"/>
      <c r="J3" s="1214"/>
      <c r="K3" s="1214"/>
      <c r="L3" s="1214"/>
      <c r="M3" s="1214"/>
      <c r="N3" s="641"/>
    </row>
    <row r="4" spans="1:16" x14ac:dyDescent="0.2">
      <c r="A4" s="1232" t="s">
        <v>346</v>
      </c>
      <c r="B4" s="1232"/>
      <c r="C4" s="1232"/>
      <c r="D4" s="1232"/>
      <c r="E4" s="1232"/>
      <c r="F4" s="1232"/>
      <c r="G4" s="1232"/>
      <c r="H4" s="1232"/>
      <c r="I4" s="1232"/>
      <c r="J4" s="1232"/>
      <c r="K4" s="1232"/>
      <c r="L4" s="1232"/>
      <c r="M4" s="1232"/>
    </row>
    <row r="5" spans="1:16" x14ac:dyDescent="0.2">
      <c r="A5" s="1237" t="s">
        <v>456</v>
      </c>
      <c r="B5" s="1237"/>
      <c r="C5" s="1237"/>
      <c r="D5" s="1237"/>
      <c r="E5" s="1237"/>
      <c r="F5" s="1237"/>
      <c r="G5" s="1237"/>
      <c r="H5" s="1237"/>
      <c r="I5" s="1237"/>
      <c r="J5" s="1237"/>
      <c r="K5" s="1237"/>
      <c r="L5" s="1237"/>
      <c r="M5" s="1237"/>
    </row>
    <row r="6" spans="1:16" x14ac:dyDescent="0.2">
      <c r="A6" s="642"/>
      <c r="B6" s="643"/>
      <c r="C6" s="643"/>
      <c r="D6" s="643"/>
      <c r="E6" s="643"/>
      <c r="F6" s="643"/>
      <c r="G6" s="643"/>
      <c r="H6" s="643"/>
      <c r="I6" s="643"/>
      <c r="J6" s="643"/>
      <c r="K6" s="643"/>
      <c r="L6" s="643"/>
      <c r="M6" s="643"/>
    </row>
    <row r="7" spans="1:16" x14ac:dyDescent="0.2">
      <c r="A7" s="642">
        <f>SUM(B7:M7)</f>
        <v>100.00000000000001</v>
      </c>
      <c r="B7" s="643">
        <f>'X22.55 DOF'!B7</f>
        <v>7.5634698564025289</v>
      </c>
      <c r="C7" s="643">
        <f>'X22.55 DOF'!C7</f>
        <v>10.83655923139986</v>
      </c>
      <c r="D7" s="643">
        <f>'X22.55 DOF'!D7</f>
        <v>7.00470591396485</v>
      </c>
      <c r="E7" s="643">
        <f>'X22.55 DOF'!E7</f>
        <v>8.6045714948366818</v>
      </c>
      <c r="F7" s="643">
        <f>'X22.55 DOF'!F7</f>
        <v>10.508061922609725</v>
      </c>
      <c r="G7" s="643">
        <f>'X22.55 DOF'!G7</f>
        <v>10.301609346490315</v>
      </c>
      <c r="H7" s="643">
        <f>'X22.55 DOF'!H7</f>
        <v>7.9858445993673932</v>
      </c>
      <c r="I7" s="643">
        <f>'X22.55 DOF'!I7</f>
        <v>8.4788485504275766</v>
      </c>
      <c r="J7" s="643">
        <f>'X22.55 DOF'!J7</f>
        <v>7.9680146057384968</v>
      </c>
      <c r="K7" s="643">
        <f>'X22.55 DOF'!K7</f>
        <v>5.2821813281143744</v>
      </c>
      <c r="L7" s="643">
        <f>'X22.55 DOF'!L7</f>
        <v>7.7090744161691562</v>
      </c>
      <c r="M7" s="643">
        <f>'X22.55 DOF'!M7</f>
        <v>7.7570587344790418</v>
      </c>
    </row>
    <row r="8" spans="1:16" ht="13.5" thickBot="1" x14ac:dyDescent="0.25">
      <c r="A8" s="1236"/>
      <c r="B8" s="1236"/>
      <c r="C8" s="1236"/>
      <c r="D8" s="1236"/>
      <c r="E8" s="1236"/>
      <c r="F8" s="1236"/>
      <c r="G8" s="1236"/>
      <c r="H8" s="1236"/>
      <c r="I8" s="1236"/>
      <c r="J8" s="1236"/>
      <c r="K8" s="1236"/>
      <c r="L8" s="1236"/>
      <c r="M8" s="1236"/>
    </row>
    <row r="9" spans="1:16" ht="13.5" thickBot="1" x14ac:dyDescent="0.25">
      <c r="A9" s="644" t="s">
        <v>347</v>
      </c>
      <c r="B9" s="645" t="s">
        <v>1</v>
      </c>
      <c r="C9" s="645" t="s">
        <v>2</v>
      </c>
      <c r="D9" s="645" t="s">
        <v>3</v>
      </c>
      <c r="E9" s="645" t="s">
        <v>4</v>
      </c>
      <c r="F9" s="645" t="s">
        <v>5</v>
      </c>
      <c r="G9" s="645" t="s">
        <v>6</v>
      </c>
      <c r="H9" s="645" t="s">
        <v>7</v>
      </c>
      <c r="I9" s="645" t="s">
        <v>8</v>
      </c>
      <c r="J9" s="645" t="s">
        <v>9</v>
      </c>
      <c r="K9" s="645" t="s">
        <v>10</v>
      </c>
      <c r="L9" s="645" t="s">
        <v>11</v>
      </c>
      <c r="M9" s="645" t="s">
        <v>12</v>
      </c>
    </row>
    <row r="10" spans="1:16" ht="13.5" thickBot="1" x14ac:dyDescent="0.25">
      <c r="A10" s="646">
        <v>8622885863</v>
      </c>
      <c r="B10" s="647">
        <f>$A$10*B7/100</f>
        <v>652189373.00000012</v>
      </c>
      <c r="C10" s="647">
        <f t="shared" ref="C10:L10" si="0">$A$10*C7/100</f>
        <v>934424134</v>
      </c>
      <c r="D10" s="647">
        <f t="shared" si="0"/>
        <v>604007796</v>
      </c>
      <c r="E10" s="647">
        <f t="shared" si="0"/>
        <v>741962379</v>
      </c>
      <c r="F10" s="647">
        <f t="shared" si="0"/>
        <v>906098186</v>
      </c>
      <c r="G10" s="647">
        <f t="shared" si="0"/>
        <v>888296016</v>
      </c>
      <c r="H10" s="647">
        <f t="shared" si="0"/>
        <v>688610265</v>
      </c>
      <c r="I10" s="647">
        <f t="shared" si="0"/>
        <v>731121433</v>
      </c>
      <c r="J10" s="647">
        <f t="shared" si="0"/>
        <v>687072805</v>
      </c>
      <c r="K10" s="647">
        <f t="shared" si="0"/>
        <v>455476467</v>
      </c>
      <c r="L10" s="647">
        <f t="shared" si="0"/>
        <v>664744687.99999988</v>
      </c>
      <c r="M10" s="647">
        <f>$A$10*M7/100</f>
        <v>668882321</v>
      </c>
      <c r="N10" s="648">
        <f>SUM(B10)</f>
        <v>652189373.00000012</v>
      </c>
      <c r="O10" s="561">
        <f>SUM(B10:C10)</f>
        <v>1586613507</v>
      </c>
    </row>
    <row r="11" spans="1:16" ht="13.5" thickBot="1" x14ac:dyDescent="0.25">
      <c r="A11" s="646"/>
      <c r="B11" s="649"/>
      <c r="C11" s="650"/>
      <c r="D11" s="650"/>
      <c r="E11" s="650"/>
      <c r="F11" s="650"/>
      <c r="G11" s="650"/>
      <c r="H11" s="650"/>
      <c r="I11" s="650"/>
      <c r="J11" s="650"/>
      <c r="K11" s="650"/>
      <c r="L11" s="650"/>
      <c r="M11" s="651"/>
      <c r="N11" s="648"/>
      <c r="O11" s="561"/>
    </row>
    <row r="12" spans="1:16" ht="13.5" thickBot="1" x14ac:dyDescent="0.25">
      <c r="A12" s="652">
        <v>0.22500000000000001</v>
      </c>
      <c r="B12" s="653">
        <v>0.22500000000000001</v>
      </c>
      <c r="C12" s="654">
        <v>0.22500000000000001</v>
      </c>
      <c r="D12" s="654">
        <v>0.22500000000000001</v>
      </c>
      <c r="E12" s="654">
        <v>0.22500000000000001</v>
      </c>
      <c r="F12" s="654">
        <v>0.22500000000000001</v>
      </c>
      <c r="G12" s="654">
        <v>0.22500000000000001</v>
      </c>
      <c r="H12" s="654">
        <v>0.22500000000000001</v>
      </c>
      <c r="I12" s="654">
        <v>0.22500000000000001</v>
      </c>
      <c r="J12" s="654">
        <v>0.22500000000000001</v>
      </c>
      <c r="K12" s="654">
        <v>0.22500000000000001</v>
      </c>
      <c r="L12" s="654">
        <v>0.22500000000000001</v>
      </c>
      <c r="M12" s="654">
        <v>0.22500000000000001</v>
      </c>
      <c r="N12" s="648"/>
      <c r="O12" s="561"/>
    </row>
    <row r="13" spans="1:16" ht="13.5" thickBot="1" x14ac:dyDescent="0.25">
      <c r="A13" s="646">
        <f>A10*A12</f>
        <v>1940149319.175</v>
      </c>
      <c r="B13" s="655">
        <f>B10*B12</f>
        <v>146742608.92500004</v>
      </c>
      <c r="C13" s="655">
        <f>C10*C12</f>
        <v>210245430.15000001</v>
      </c>
      <c r="D13" s="655">
        <f>D10*D12</f>
        <v>135901754.09999999</v>
      </c>
      <c r="E13" s="655">
        <f t="shared" ref="E13:J13" si="1">E10*E12</f>
        <v>166941535.27500001</v>
      </c>
      <c r="F13" s="655">
        <f t="shared" si="1"/>
        <v>203872091.84999999</v>
      </c>
      <c r="G13" s="655">
        <f t="shared" si="1"/>
        <v>199866603.59999999</v>
      </c>
      <c r="H13" s="655">
        <f t="shared" si="1"/>
        <v>154937309.625</v>
      </c>
      <c r="I13" s="655">
        <f t="shared" si="1"/>
        <v>164502322.42500001</v>
      </c>
      <c r="J13" s="655">
        <f t="shared" si="1"/>
        <v>154591381.125</v>
      </c>
      <c r="K13" s="655">
        <f>K10*K12</f>
        <v>102482205.075</v>
      </c>
      <c r="L13" s="655">
        <f>L10*L12</f>
        <v>149567554.79999998</v>
      </c>
      <c r="M13" s="655">
        <f>M10*M12</f>
        <v>150498522.22499999</v>
      </c>
      <c r="N13" s="648">
        <f>SUM(B13)</f>
        <v>146742608.92500004</v>
      </c>
      <c r="O13" s="561">
        <f t="shared" ref="O13:O73" si="2">SUM(B13:C13)</f>
        <v>356988039.07500005</v>
      </c>
    </row>
    <row r="14" spans="1:16" x14ac:dyDescent="0.2">
      <c r="A14" s="656" t="s">
        <v>348</v>
      </c>
      <c r="B14" s="657">
        <v>79519983.975000009</v>
      </c>
      <c r="C14" s="657">
        <v>93406104.225000009</v>
      </c>
      <c r="D14" s="657">
        <v>77611356.900000006</v>
      </c>
      <c r="E14" s="657">
        <v>85589943.075000003</v>
      </c>
      <c r="F14" s="657">
        <v>72480824.325000003</v>
      </c>
      <c r="G14" s="657">
        <v>69571626.975000009</v>
      </c>
      <c r="H14" s="657">
        <v>86727042.900000006</v>
      </c>
      <c r="I14" s="657">
        <v>74664112.950000003</v>
      </c>
      <c r="J14" s="657">
        <v>83212012.575000003</v>
      </c>
      <c r="K14" s="657">
        <v>95450367.375</v>
      </c>
      <c r="L14" s="657">
        <v>74640343.950000003</v>
      </c>
      <c r="M14" s="657">
        <v>83654296.875</v>
      </c>
      <c r="O14" s="561"/>
      <c r="P14" s="561"/>
    </row>
    <row r="15" spans="1:16" ht="13.5" thickBot="1" x14ac:dyDescent="0.25">
      <c r="A15" s="656" t="s">
        <v>349</v>
      </c>
      <c r="B15" s="657">
        <f>B13-B14</f>
        <v>67222624.950000033</v>
      </c>
      <c r="C15" s="657">
        <f t="shared" ref="C15:M15" si="3">C13-C14</f>
        <v>116839325.925</v>
      </c>
      <c r="D15" s="657">
        <f t="shared" si="3"/>
        <v>58290397.199999988</v>
      </c>
      <c r="E15" s="657">
        <f t="shared" si="3"/>
        <v>81351592.200000003</v>
      </c>
      <c r="F15" s="657">
        <f t="shared" si="3"/>
        <v>131391267.52499999</v>
      </c>
      <c r="G15" s="657">
        <f t="shared" si="3"/>
        <v>130294976.62499999</v>
      </c>
      <c r="H15" s="657">
        <f t="shared" si="3"/>
        <v>68210266.724999994</v>
      </c>
      <c r="I15" s="657">
        <f t="shared" si="3"/>
        <v>89838209.475000009</v>
      </c>
      <c r="J15" s="657">
        <f t="shared" si="3"/>
        <v>71379368.549999997</v>
      </c>
      <c r="K15" s="657">
        <f t="shared" si="3"/>
        <v>7031837.700000003</v>
      </c>
      <c r="L15" s="657">
        <f t="shared" si="3"/>
        <v>74927210.849999979</v>
      </c>
      <c r="M15" s="657">
        <f t="shared" si="3"/>
        <v>66844225.349999994</v>
      </c>
      <c r="O15" s="561"/>
    </row>
    <row r="16" spans="1:16" ht="13.5" thickBot="1" x14ac:dyDescent="0.25">
      <c r="A16" s="658" t="s">
        <v>389</v>
      </c>
      <c r="B16" s="659">
        <f>B14+B15</f>
        <v>146742608.92500004</v>
      </c>
      <c r="C16" s="659">
        <f t="shared" ref="C16:M16" si="4">C14+C15</f>
        <v>210245430.15000001</v>
      </c>
      <c r="D16" s="659">
        <f t="shared" si="4"/>
        <v>135901754.09999999</v>
      </c>
      <c r="E16" s="659">
        <f t="shared" si="4"/>
        <v>166941535.27500001</v>
      </c>
      <c r="F16" s="659">
        <f t="shared" si="4"/>
        <v>203872091.84999999</v>
      </c>
      <c r="G16" s="659">
        <f t="shared" si="4"/>
        <v>199866603.59999999</v>
      </c>
      <c r="H16" s="659">
        <f t="shared" si="4"/>
        <v>154937309.625</v>
      </c>
      <c r="I16" s="659">
        <f t="shared" si="4"/>
        <v>164502322.42500001</v>
      </c>
      <c r="J16" s="659">
        <f t="shared" si="4"/>
        <v>154591381.125</v>
      </c>
      <c r="K16" s="659">
        <f t="shared" si="4"/>
        <v>102482205.075</v>
      </c>
      <c r="L16" s="659">
        <f t="shared" si="4"/>
        <v>149567554.79999998</v>
      </c>
      <c r="M16" s="659">
        <f t="shared" si="4"/>
        <v>150498522.22499999</v>
      </c>
      <c r="O16" s="561"/>
    </row>
    <row r="17" spans="1:15" x14ac:dyDescent="0.2">
      <c r="A17" s="1232" t="s">
        <v>346</v>
      </c>
      <c r="B17" s="1232"/>
      <c r="C17" s="1232"/>
      <c r="D17" s="1232"/>
      <c r="E17" s="1232"/>
      <c r="F17" s="1232"/>
      <c r="G17" s="1232"/>
      <c r="H17" s="1232"/>
      <c r="I17" s="1232"/>
      <c r="J17" s="1232"/>
      <c r="K17" s="1232"/>
      <c r="L17" s="1232"/>
      <c r="M17" s="1232"/>
      <c r="O17" s="561"/>
    </row>
    <row r="18" spans="1:15" x14ac:dyDescent="0.2">
      <c r="A18" s="1237" t="s">
        <v>457</v>
      </c>
      <c r="B18" s="1237"/>
      <c r="C18" s="1237"/>
      <c r="D18" s="1237"/>
      <c r="E18" s="1237"/>
      <c r="F18" s="1237"/>
      <c r="G18" s="1237"/>
      <c r="H18" s="1237"/>
      <c r="I18" s="1237"/>
      <c r="J18" s="1237"/>
      <c r="K18" s="1237"/>
      <c r="L18" s="1237"/>
      <c r="M18" s="1237"/>
      <c r="O18" s="561"/>
    </row>
    <row r="19" spans="1:15" x14ac:dyDescent="0.2">
      <c r="A19" s="642"/>
      <c r="B19" s="643"/>
      <c r="C19" s="643"/>
      <c r="D19" s="643"/>
      <c r="E19" s="643"/>
      <c r="F19" s="643"/>
      <c r="G19" s="643"/>
      <c r="H19" s="643"/>
      <c r="I19" s="643"/>
      <c r="J19" s="643"/>
      <c r="K19" s="643"/>
      <c r="L19" s="643"/>
      <c r="M19" s="643"/>
      <c r="O19" s="561"/>
    </row>
    <row r="20" spans="1:15" ht="13.5" thickBot="1" x14ac:dyDescent="0.25">
      <c r="A20" s="660">
        <f>SUM(B20:M20)</f>
        <v>100</v>
      </c>
      <c r="B20" s="661">
        <f>'X22.55 DOF'!B17</f>
        <v>7.5623139906247676</v>
      </c>
      <c r="C20" s="661">
        <f>'X22.55 DOF'!C17</f>
        <v>10.841805836376532</v>
      </c>
      <c r="D20" s="661">
        <f>'X22.55 DOF'!D17</f>
        <v>7.002457097456344</v>
      </c>
      <c r="E20" s="661">
        <f>'X22.55 DOF'!E17</f>
        <v>8.6054521099008845</v>
      </c>
      <c r="F20" s="661">
        <f>'X22.55 DOF'!F17</f>
        <v>10.512666025905034</v>
      </c>
      <c r="G20" s="661">
        <f>'X22.55 DOF'!G17</f>
        <v>10.305809544198757</v>
      </c>
      <c r="H20" s="661">
        <f>'X22.55 DOF'!H17</f>
        <v>7.9848147536501211</v>
      </c>
      <c r="I20" s="661">
        <f>'X22.55 DOF'!I17</f>
        <v>8.4787831430241454</v>
      </c>
      <c r="J20" s="661">
        <f>'X22.55 DOF'!J17</f>
        <v>7.966949995103624</v>
      </c>
      <c r="K20" s="661">
        <f>'X22.55 DOF'!K17</f>
        <v>5.275862833485669</v>
      </c>
      <c r="L20" s="661">
        <f>'X22.55 DOF'!L17</f>
        <v>7.7075031989199978</v>
      </c>
      <c r="M20" s="661">
        <f>'X22.55 DOF'!M17</f>
        <v>7.755581471354124</v>
      </c>
      <c r="O20" s="561"/>
    </row>
    <row r="21" spans="1:15" ht="13.5" thickBot="1" x14ac:dyDescent="0.25">
      <c r="A21" s="644" t="s">
        <v>347</v>
      </c>
      <c r="B21" s="645" t="s">
        <v>1</v>
      </c>
      <c r="C21" s="645" t="s">
        <v>2</v>
      </c>
      <c r="D21" s="645" t="s">
        <v>3</v>
      </c>
      <c r="E21" s="645" t="s">
        <v>4</v>
      </c>
      <c r="F21" s="645" t="s">
        <v>5</v>
      </c>
      <c r="G21" s="645" t="s">
        <v>6</v>
      </c>
      <c r="H21" s="645" t="s">
        <v>7</v>
      </c>
      <c r="I21" s="645" t="s">
        <v>8</v>
      </c>
      <c r="J21" s="645" t="s">
        <v>9</v>
      </c>
      <c r="K21" s="645" t="s">
        <v>10</v>
      </c>
      <c r="L21" s="645" t="s">
        <v>11</v>
      </c>
      <c r="M21" s="645" t="s">
        <v>12</v>
      </c>
      <c r="O21" s="561"/>
    </row>
    <row r="22" spans="1:15" ht="13.5" thickBot="1" x14ac:dyDescent="0.25">
      <c r="A22" s="646">
        <v>605202694</v>
      </c>
      <c r="B22" s="662">
        <f>$A$22*B20/100</f>
        <v>45767328</v>
      </c>
      <c r="C22" s="662">
        <f t="shared" ref="C22:M22" si="5">$A$22*C20/100</f>
        <v>65614901</v>
      </c>
      <c r="D22" s="662">
        <f t="shared" si="5"/>
        <v>42379059</v>
      </c>
      <c r="E22" s="662">
        <f t="shared" si="5"/>
        <v>52080427.999999993</v>
      </c>
      <c r="F22" s="662">
        <f t="shared" si="5"/>
        <v>63622938</v>
      </c>
      <c r="G22" s="662">
        <f t="shared" si="5"/>
        <v>62371037</v>
      </c>
      <c r="H22" s="662">
        <f t="shared" si="5"/>
        <v>48324314</v>
      </c>
      <c r="I22" s="662">
        <f t="shared" si="5"/>
        <v>51313824</v>
      </c>
      <c r="J22" s="662">
        <f t="shared" si="5"/>
        <v>48216196</v>
      </c>
      <c r="K22" s="662">
        <f t="shared" si="5"/>
        <v>31929664.000000004</v>
      </c>
      <c r="L22" s="662">
        <f t="shared" si="5"/>
        <v>46646017.000000007</v>
      </c>
      <c r="M22" s="662">
        <f t="shared" si="5"/>
        <v>46936988</v>
      </c>
      <c r="N22" s="648">
        <f>SUM(B22)</f>
        <v>45767328</v>
      </c>
      <c r="O22" s="561">
        <f t="shared" si="2"/>
        <v>111382229</v>
      </c>
    </row>
    <row r="23" spans="1:15" x14ac:dyDescent="0.2">
      <c r="A23" s="656" t="s">
        <v>348</v>
      </c>
      <c r="B23" s="649">
        <v>35431649</v>
      </c>
      <c r="C23" s="649">
        <v>40934154</v>
      </c>
      <c r="D23" s="649">
        <v>34575072</v>
      </c>
      <c r="E23" s="649">
        <v>38155801</v>
      </c>
      <c r="F23" s="649">
        <v>32272527</v>
      </c>
      <c r="G23" s="649">
        <v>34566214</v>
      </c>
      <c r="H23" s="649">
        <v>38666123</v>
      </c>
      <c r="I23" s="649">
        <v>33252371</v>
      </c>
      <c r="J23" s="649">
        <v>37088604</v>
      </c>
      <c r="K23" s="649">
        <v>37002228</v>
      </c>
      <c r="L23" s="649">
        <v>33241703</v>
      </c>
      <c r="M23" s="649">
        <v>37287098</v>
      </c>
      <c r="O23" s="561"/>
    </row>
    <row r="24" spans="1:15" x14ac:dyDescent="0.2">
      <c r="A24" s="656" t="s">
        <v>349</v>
      </c>
      <c r="B24" s="649">
        <f>B22-B23</f>
        <v>10335679</v>
      </c>
      <c r="C24" s="649">
        <f t="shared" ref="C24:M24" si="6">C22-C23</f>
        <v>24680747</v>
      </c>
      <c r="D24" s="649">
        <f t="shared" si="6"/>
        <v>7803987</v>
      </c>
      <c r="E24" s="649">
        <f t="shared" si="6"/>
        <v>13924626.999999993</v>
      </c>
      <c r="F24" s="649">
        <f t="shared" si="6"/>
        <v>31350411</v>
      </c>
      <c r="G24" s="649">
        <f t="shared" si="6"/>
        <v>27804823</v>
      </c>
      <c r="H24" s="649">
        <f t="shared" si="6"/>
        <v>9658191</v>
      </c>
      <c r="I24" s="649">
        <f t="shared" si="6"/>
        <v>18061453</v>
      </c>
      <c r="J24" s="649">
        <f t="shared" si="6"/>
        <v>11127592</v>
      </c>
      <c r="K24" s="649">
        <f t="shared" si="6"/>
        <v>-5072563.9999999963</v>
      </c>
      <c r="L24" s="649">
        <f t="shared" si="6"/>
        <v>13404314.000000007</v>
      </c>
      <c r="M24" s="649">
        <f t="shared" si="6"/>
        <v>9649890</v>
      </c>
      <c r="O24" s="561"/>
    </row>
    <row r="25" spans="1:15" x14ac:dyDescent="0.2">
      <c r="A25" s="600">
        <v>0.7</v>
      </c>
      <c r="B25" s="663">
        <f>B24*$A$25</f>
        <v>7234975.2999999998</v>
      </c>
      <c r="C25" s="663">
        <f t="shared" ref="C25:M25" si="7">C24*$A$25</f>
        <v>17276522.899999999</v>
      </c>
      <c r="D25" s="663">
        <f t="shared" si="7"/>
        <v>5462790.8999999994</v>
      </c>
      <c r="E25" s="663">
        <f t="shared" si="7"/>
        <v>9747238.8999999948</v>
      </c>
      <c r="F25" s="663">
        <f t="shared" si="7"/>
        <v>21945287.699999999</v>
      </c>
      <c r="G25" s="663">
        <f t="shared" si="7"/>
        <v>19463376.099999998</v>
      </c>
      <c r="H25" s="663">
        <f t="shared" si="7"/>
        <v>6760733.6999999993</v>
      </c>
      <c r="I25" s="663">
        <f t="shared" si="7"/>
        <v>12643017.1</v>
      </c>
      <c r="J25" s="663">
        <f t="shared" si="7"/>
        <v>7789314.3999999994</v>
      </c>
      <c r="K25" s="663">
        <f t="shared" si="7"/>
        <v>-3550794.799999997</v>
      </c>
      <c r="L25" s="663">
        <f t="shared" si="7"/>
        <v>9383019.8000000045</v>
      </c>
      <c r="M25" s="663">
        <f t="shared" si="7"/>
        <v>6754923</v>
      </c>
      <c r="O25" s="561"/>
    </row>
    <row r="26" spans="1:15" ht="13.5" thickBot="1" x14ac:dyDescent="0.25">
      <c r="A26" s="664">
        <v>0.3</v>
      </c>
      <c r="B26" s="663">
        <f>B24*$A$26</f>
        <v>3100703.6999999997</v>
      </c>
      <c r="C26" s="663">
        <f t="shared" ref="C26:M26" si="8">C24*$A$26</f>
        <v>7404224.0999999996</v>
      </c>
      <c r="D26" s="663">
        <f t="shared" si="8"/>
        <v>2341196.1</v>
      </c>
      <c r="E26" s="663">
        <f t="shared" si="8"/>
        <v>4177388.0999999978</v>
      </c>
      <c r="F26" s="663">
        <f t="shared" si="8"/>
        <v>9405123.2999999989</v>
      </c>
      <c r="G26" s="663">
        <f t="shared" si="8"/>
        <v>8341446.8999999994</v>
      </c>
      <c r="H26" s="663">
        <f t="shared" si="8"/>
        <v>2897457.3</v>
      </c>
      <c r="I26" s="663">
        <f t="shared" si="8"/>
        <v>5418435.8999999994</v>
      </c>
      <c r="J26" s="663">
        <f t="shared" si="8"/>
        <v>3338277.6</v>
      </c>
      <c r="K26" s="663">
        <f t="shared" si="8"/>
        <v>-1521769.1999999988</v>
      </c>
      <c r="L26" s="663">
        <f t="shared" si="8"/>
        <v>4021294.200000002</v>
      </c>
      <c r="M26" s="663">
        <f t="shared" si="8"/>
        <v>2894967</v>
      </c>
      <c r="O26" s="561"/>
    </row>
    <row r="27" spans="1:15" ht="13.5" thickBot="1" x14ac:dyDescent="0.25">
      <c r="A27" s="658" t="s">
        <v>389</v>
      </c>
      <c r="B27" s="663">
        <f>SUM(B25:B26)</f>
        <v>10335679</v>
      </c>
      <c r="C27" s="663">
        <f t="shared" ref="C27:M27" si="9">SUM(C25:C26)</f>
        <v>24680747</v>
      </c>
      <c r="D27" s="663">
        <f t="shared" si="9"/>
        <v>7803987</v>
      </c>
      <c r="E27" s="663">
        <f t="shared" si="9"/>
        <v>13924626.999999993</v>
      </c>
      <c r="F27" s="663">
        <f t="shared" si="9"/>
        <v>31350411</v>
      </c>
      <c r="G27" s="663">
        <f t="shared" si="9"/>
        <v>27804822.999999996</v>
      </c>
      <c r="H27" s="663">
        <f t="shared" si="9"/>
        <v>9658191</v>
      </c>
      <c r="I27" s="663">
        <f t="shared" si="9"/>
        <v>18061453</v>
      </c>
      <c r="J27" s="663">
        <f t="shared" si="9"/>
        <v>11127592</v>
      </c>
      <c r="K27" s="663">
        <f t="shared" si="9"/>
        <v>-5072563.9999999963</v>
      </c>
      <c r="L27" s="663">
        <f t="shared" si="9"/>
        <v>13404314.000000007</v>
      </c>
      <c r="M27" s="663">
        <f t="shared" si="9"/>
        <v>9649890</v>
      </c>
      <c r="N27" s="665"/>
      <c r="O27" s="561"/>
    </row>
    <row r="28" spans="1:15" x14ac:dyDescent="0.2">
      <c r="A28" s="666"/>
      <c r="B28" s="663"/>
      <c r="C28" s="663"/>
      <c r="D28" s="663"/>
      <c r="E28" s="663"/>
      <c r="F28" s="663"/>
      <c r="G28" s="663"/>
      <c r="H28" s="663"/>
      <c r="I28" s="663"/>
      <c r="J28" s="663"/>
      <c r="K28" s="663"/>
      <c r="L28" s="663"/>
      <c r="M28" s="663"/>
      <c r="O28" s="561"/>
    </row>
    <row r="29" spans="1:15" x14ac:dyDescent="0.2">
      <c r="A29" s="666"/>
      <c r="B29" s="663"/>
      <c r="C29" s="663"/>
      <c r="D29" s="663"/>
      <c r="E29" s="663"/>
      <c r="F29" s="663"/>
      <c r="G29" s="663"/>
      <c r="H29" s="663"/>
      <c r="I29" s="663"/>
      <c r="J29" s="663"/>
      <c r="K29" s="663"/>
      <c r="L29" s="663"/>
      <c r="M29" s="663"/>
      <c r="O29" s="561"/>
    </row>
    <row r="30" spans="1:15" x14ac:dyDescent="0.2">
      <c r="A30" s="666"/>
      <c r="B30" s="663"/>
      <c r="C30" s="663"/>
      <c r="D30" s="663"/>
      <c r="E30" s="663"/>
      <c r="F30" s="663"/>
      <c r="G30" s="663"/>
      <c r="H30" s="663"/>
      <c r="I30" s="663"/>
      <c r="J30" s="663"/>
      <c r="K30" s="663"/>
      <c r="L30" s="663"/>
      <c r="M30" s="663"/>
      <c r="O30" s="561"/>
    </row>
    <row r="31" spans="1:15" x14ac:dyDescent="0.2">
      <c r="A31" s="1232" t="s">
        <v>346</v>
      </c>
      <c r="B31" s="1232"/>
      <c r="C31" s="1232"/>
      <c r="D31" s="1232"/>
      <c r="E31" s="1232"/>
      <c r="F31" s="1232"/>
      <c r="G31" s="1232"/>
      <c r="H31" s="1232"/>
      <c r="I31" s="1232"/>
      <c r="J31" s="1232"/>
      <c r="K31" s="1232"/>
      <c r="L31" s="1232"/>
      <c r="M31" s="1232"/>
      <c r="O31" s="561"/>
    </row>
    <row r="32" spans="1:15" x14ac:dyDescent="0.2">
      <c r="A32" s="1237" t="s">
        <v>458</v>
      </c>
      <c r="B32" s="1237"/>
      <c r="C32" s="1237"/>
      <c r="D32" s="1237"/>
      <c r="E32" s="1237"/>
      <c r="F32" s="1237"/>
      <c r="G32" s="1237"/>
      <c r="H32" s="1237"/>
      <c r="I32" s="1237"/>
      <c r="J32" s="1237"/>
      <c r="K32" s="1237"/>
      <c r="L32" s="1237"/>
      <c r="M32" s="1237"/>
      <c r="O32" s="561"/>
    </row>
    <row r="33" spans="1:16" x14ac:dyDescent="0.2">
      <c r="A33" s="642"/>
      <c r="B33" s="643"/>
      <c r="C33" s="643"/>
      <c r="D33" s="643"/>
      <c r="E33" s="643"/>
      <c r="F33" s="643"/>
      <c r="G33" s="643"/>
      <c r="H33" s="643"/>
      <c r="I33" s="643"/>
      <c r="J33" s="643"/>
      <c r="K33" s="643"/>
      <c r="L33" s="643"/>
      <c r="M33" s="643"/>
      <c r="O33" s="561"/>
    </row>
    <row r="34" spans="1:16" ht="13.5" thickBot="1" x14ac:dyDescent="0.25">
      <c r="A34" s="660">
        <f>SUM(B34:M34)</f>
        <v>100</v>
      </c>
      <c r="B34" s="661">
        <f>'X22.55 DOF'!B29</f>
        <v>7.0239820832038555</v>
      </c>
      <c r="C34" s="661">
        <f>'X22.55 DOF'!C29</f>
        <v>16.054762844864754</v>
      </c>
      <c r="D34" s="661">
        <f>'X22.55 DOF'!D29</f>
        <v>6.6685033354189889</v>
      </c>
      <c r="E34" s="661">
        <f>'X22.55 DOF'!E29</f>
        <v>6.4808514605213103</v>
      </c>
      <c r="F34" s="661">
        <f>'X22.55 DOF'!F29</f>
        <v>7.1552165800353382</v>
      </c>
      <c r="G34" s="661">
        <f>'X22.55 DOF'!G29</f>
        <v>7.4201018026938526</v>
      </c>
      <c r="H34" s="661">
        <f>'X22.55 DOF'!H29</f>
        <v>7.6413336123021383</v>
      </c>
      <c r="I34" s="661">
        <f>'X22.55 DOF'!I29</f>
        <v>8.4643602018290522</v>
      </c>
      <c r="J34" s="661">
        <f>'X22.55 DOF'!J29</f>
        <v>8.4820972054322201</v>
      </c>
      <c r="K34" s="661">
        <f>'X22.55 DOF'!K29</f>
        <v>8.3878247363131635</v>
      </c>
      <c r="L34" s="661">
        <f>'X22.55 DOF'!L29</f>
        <v>8.1166391180997621</v>
      </c>
      <c r="M34" s="661">
        <f>'X22.55 DOF'!M29</f>
        <v>8.104327019285563</v>
      </c>
      <c r="O34" s="561"/>
    </row>
    <row r="35" spans="1:16" ht="13.5" thickBot="1" x14ac:dyDescent="0.25">
      <c r="A35" s="644" t="s">
        <v>347</v>
      </c>
      <c r="B35" s="645" t="s">
        <v>1</v>
      </c>
      <c r="C35" s="645" t="s">
        <v>2</v>
      </c>
      <c r="D35" s="645" t="s">
        <v>3</v>
      </c>
      <c r="E35" s="645" t="s">
        <v>4</v>
      </c>
      <c r="F35" s="645" t="s">
        <v>5</v>
      </c>
      <c r="G35" s="645" t="s">
        <v>6</v>
      </c>
      <c r="H35" s="645" t="s">
        <v>7</v>
      </c>
      <c r="I35" s="645" t="s">
        <v>8</v>
      </c>
      <c r="J35" s="645" t="s">
        <v>9</v>
      </c>
      <c r="K35" s="645" t="s">
        <v>10</v>
      </c>
      <c r="L35" s="645" t="s">
        <v>11</v>
      </c>
      <c r="M35" s="645" t="s">
        <v>12</v>
      </c>
      <c r="O35" s="561"/>
    </row>
    <row r="36" spans="1:16" ht="13.5" thickBot="1" x14ac:dyDescent="0.25">
      <c r="A36" s="646">
        <v>159339202</v>
      </c>
      <c r="B36" s="662">
        <f>$A$36*B34/100</f>
        <v>11191957</v>
      </c>
      <c r="C36" s="662">
        <f t="shared" ref="C36:L36" si="10">$A$36*C34/100</f>
        <v>25581530.999999996</v>
      </c>
      <c r="D36" s="662">
        <f t="shared" si="10"/>
        <v>10625540</v>
      </c>
      <c r="E36" s="662">
        <f t="shared" si="10"/>
        <v>10326537.000000002</v>
      </c>
      <c r="F36" s="662">
        <f t="shared" si="10"/>
        <v>11401065</v>
      </c>
      <c r="G36" s="662">
        <f t="shared" si="10"/>
        <v>11823131</v>
      </c>
      <c r="H36" s="662">
        <f t="shared" si="10"/>
        <v>12175640</v>
      </c>
      <c r="I36" s="662">
        <f t="shared" si="10"/>
        <v>13487044.000000002</v>
      </c>
      <c r="J36" s="662">
        <f t="shared" si="10"/>
        <v>13515306</v>
      </c>
      <c r="K36" s="662">
        <f t="shared" si="10"/>
        <v>13365093</v>
      </c>
      <c r="L36" s="662">
        <f t="shared" si="10"/>
        <v>12932987.999999998</v>
      </c>
      <c r="M36" s="662">
        <f>$A$36*M34/100</f>
        <v>12913370.000000002</v>
      </c>
      <c r="N36" s="648">
        <f>SUM(B36)</f>
        <v>11191957</v>
      </c>
      <c r="O36" s="561">
        <f t="shared" si="2"/>
        <v>36773488</v>
      </c>
    </row>
    <row r="37" spans="1:16" ht="13.5" thickBot="1" x14ac:dyDescent="0.25">
      <c r="A37" s="652">
        <v>0.22500000000000001</v>
      </c>
      <c r="B37" s="667">
        <v>0.22500000000000001</v>
      </c>
      <c r="C37" s="667">
        <v>0.22500000000000001</v>
      </c>
      <c r="D37" s="667">
        <v>0.22500000000000001</v>
      </c>
      <c r="E37" s="667">
        <v>0.22500000000000001</v>
      </c>
      <c r="F37" s="667">
        <v>0.22500000000000001</v>
      </c>
      <c r="G37" s="667">
        <v>0.22500000000000001</v>
      </c>
      <c r="H37" s="667">
        <v>0.22500000000000001</v>
      </c>
      <c r="I37" s="667">
        <v>0.22500000000000001</v>
      </c>
      <c r="J37" s="667">
        <v>0.22500000000000001</v>
      </c>
      <c r="K37" s="667">
        <v>0.22500000000000001</v>
      </c>
      <c r="L37" s="667">
        <v>0.22500000000000001</v>
      </c>
      <c r="M37" s="667">
        <v>0.22500000000000001</v>
      </c>
      <c r="N37" s="648"/>
      <c r="O37" s="561"/>
    </row>
    <row r="38" spans="1:16" ht="13.5" thickBot="1" x14ac:dyDescent="0.25">
      <c r="A38" s="646">
        <f t="shared" ref="A38:M38" si="11">A36*A37</f>
        <v>35851320.450000003</v>
      </c>
      <c r="B38" s="655">
        <f t="shared" si="11"/>
        <v>2518190.3250000002</v>
      </c>
      <c r="C38" s="655">
        <f t="shared" si="11"/>
        <v>5755844.4749999996</v>
      </c>
      <c r="D38" s="655">
        <f t="shared" si="11"/>
        <v>2390746.5</v>
      </c>
      <c r="E38" s="655">
        <f t="shared" si="11"/>
        <v>2323470.8250000007</v>
      </c>
      <c r="F38" s="655">
        <f t="shared" si="11"/>
        <v>2565239.625</v>
      </c>
      <c r="G38" s="655">
        <f t="shared" si="11"/>
        <v>2660204.4750000001</v>
      </c>
      <c r="H38" s="655">
        <f t="shared" si="11"/>
        <v>2739519</v>
      </c>
      <c r="I38" s="655">
        <f t="shared" si="11"/>
        <v>3034584.9000000004</v>
      </c>
      <c r="J38" s="655">
        <f t="shared" si="11"/>
        <v>3040943.85</v>
      </c>
      <c r="K38" s="655">
        <f t="shared" si="11"/>
        <v>3007145.9250000003</v>
      </c>
      <c r="L38" s="655">
        <f t="shared" si="11"/>
        <v>2909922.3</v>
      </c>
      <c r="M38" s="655">
        <f t="shared" si="11"/>
        <v>2905508.2500000005</v>
      </c>
      <c r="N38" s="648">
        <f>SUM(B38)</f>
        <v>2518190.3250000002</v>
      </c>
      <c r="O38" s="561">
        <f t="shared" si="2"/>
        <v>8274034.7999999998</v>
      </c>
    </row>
    <row r="39" spans="1:16" x14ac:dyDescent="0.2">
      <c r="A39" s="656" t="s">
        <v>348</v>
      </c>
      <c r="B39" s="657">
        <v>1445775.3033262629</v>
      </c>
      <c r="C39" s="657">
        <v>2205753.7364722979</v>
      </c>
      <c r="D39" s="657">
        <v>1516402.197610155</v>
      </c>
      <c r="E39" s="657">
        <v>1722537.6352045152</v>
      </c>
      <c r="F39" s="657">
        <v>1641136.1151215194</v>
      </c>
      <c r="G39" s="657">
        <v>1715735.0658352086</v>
      </c>
      <c r="H39" s="657">
        <v>1743567.8248831125</v>
      </c>
      <c r="I39" s="657">
        <v>1808863.5888838039</v>
      </c>
      <c r="J39" s="657">
        <v>1749982.8978382845</v>
      </c>
      <c r="K39" s="657">
        <v>1710440.3724332915</v>
      </c>
      <c r="L39" s="657">
        <v>1671584.474964832</v>
      </c>
      <c r="M39" s="657">
        <v>1678220.787426722</v>
      </c>
      <c r="O39" s="561"/>
    </row>
    <row r="40" spans="1:16" ht="13.5" thickBot="1" x14ac:dyDescent="0.25">
      <c r="A40" s="656" t="s">
        <v>349</v>
      </c>
      <c r="B40" s="657">
        <f>B38-B39</f>
        <v>1072415.0216737373</v>
      </c>
      <c r="C40" s="657">
        <f t="shared" ref="C40:M40" si="12">C38-C39</f>
        <v>3550090.7385277017</v>
      </c>
      <c r="D40" s="657">
        <f t="shared" si="12"/>
        <v>874344.30238984502</v>
      </c>
      <c r="E40" s="657">
        <f t="shared" si="12"/>
        <v>600933.18979548546</v>
      </c>
      <c r="F40" s="657">
        <f t="shared" si="12"/>
        <v>924103.50987848057</v>
      </c>
      <c r="G40" s="657">
        <f t="shared" si="12"/>
        <v>944469.40916479146</v>
      </c>
      <c r="H40" s="657">
        <f t="shared" si="12"/>
        <v>995951.17511688755</v>
      </c>
      <c r="I40" s="657">
        <f t="shared" si="12"/>
        <v>1225721.3111161964</v>
      </c>
      <c r="J40" s="657">
        <f t="shared" si="12"/>
        <v>1290960.9521617156</v>
      </c>
      <c r="K40" s="657">
        <f t="shared" si="12"/>
        <v>1296705.5525667088</v>
      </c>
      <c r="L40" s="657">
        <f t="shared" si="12"/>
        <v>1238337.8250351679</v>
      </c>
      <c r="M40" s="657">
        <f t="shared" si="12"/>
        <v>1227287.4625732785</v>
      </c>
      <c r="O40" s="561"/>
    </row>
    <row r="41" spans="1:16" ht="13.5" thickBot="1" x14ac:dyDescent="0.25">
      <c r="A41" s="658" t="s">
        <v>389</v>
      </c>
      <c r="B41" s="657">
        <f>B39+B40</f>
        <v>2518190.3250000002</v>
      </c>
      <c r="C41" s="657">
        <f t="shared" ref="C41:M41" si="13">C39+C40</f>
        <v>5755844.4749999996</v>
      </c>
      <c r="D41" s="657">
        <f t="shared" si="13"/>
        <v>2390746.5</v>
      </c>
      <c r="E41" s="657">
        <f t="shared" si="13"/>
        <v>2323470.8250000007</v>
      </c>
      <c r="F41" s="657">
        <f t="shared" si="13"/>
        <v>2565239.625</v>
      </c>
      <c r="G41" s="657">
        <f t="shared" si="13"/>
        <v>2660204.4750000001</v>
      </c>
      <c r="H41" s="657">
        <f t="shared" si="13"/>
        <v>2739519</v>
      </c>
      <c r="I41" s="657">
        <f t="shared" si="13"/>
        <v>3034584.9000000004</v>
      </c>
      <c r="J41" s="657">
        <f t="shared" si="13"/>
        <v>3040943.85</v>
      </c>
      <c r="K41" s="657">
        <f t="shared" si="13"/>
        <v>3007145.9250000003</v>
      </c>
      <c r="L41" s="657">
        <f t="shared" si="13"/>
        <v>2909922.3</v>
      </c>
      <c r="M41" s="657">
        <f t="shared" si="13"/>
        <v>2905508.2500000005</v>
      </c>
      <c r="O41" s="561"/>
    </row>
    <row r="42" spans="1:16" x14ac:dyDescent="0.2">
      <c r="A42" s="1232" t="s">
        <v>346</v>
      </c>
      <c r="B42" s="1232"/>
      <c r="C42" s="1232"/>
      <c r="D42" s="1232"/>
      <c r="E42" s="1232"/>
      <c r="F42" s="1232"/>
      <c r="G42" s="1232"/>
      <c r="H42" s="1232"/>
      <c r="I42" s="1232"/>
      <c r="J42" s="1232"/>
      <c r="K42" s="1232"/>
      <c r="L42" s="1232"/>
      <c r="M42" s="1232"/>
      <c r="O42" s="561"/>
    </row>
    <row r="43" spans="1:16" x14ac:dyDescent="0.2">
      <c r="A43" s="1237" t="s">
        <v>459</v>
      </c>
      <c r="B43" s="1237"/>
      <c r="C43" s="1237"/>
      <c r="D43" s="1237"/>
      <c r="E43" s="1237"/>
      <c r="F43" s="1237"/>
      <c r="G43" s="1237"/>
      <c r="H43" s="1237"/>
      <c r="I43" s="1237"/>
      <c r="J43" s="1237"/>
      <c r="K43" s="1237"/>
      <c r="L43" s="1237"/>
      <c r="M43" s="1237"/>
      <c r="O43" s="561"/>
    </row>
    <row r="44" spans="1:16" x14ac:dyDescent="0.2">
      <c r="A44" s="642"/>
      <c r="B44" s="643"/>
      <c r="C44" s="643"/>
      <c r="D44" s="643"/>
      <c r="E44" s="643"/>
      <c r="F44" s="643"/>
      <c r="G44" s="643"/>
      <c r="H44" s="643"/>
      <c r="I44" s="643"/>
      <c r="J44" s="643"/>
      <c r="K44" s="643"/>
      <c r="L44" s="643"/>
      <c r="M44" s="643"/>
      <c r="O44" s="561"/>
    </row>
    <row r="45" spans="1:16" ht="13.5" thickBot="1" x14ac:dyDescent="0.25">
      <c r="A45" s="660">
        <f>SUM(B45:M45)</f>
        <v>100</v>
      </c>
      <c r="B45" s="661">
        <f>'X22.55 DOF'!B38</f>
        <v>7.7790803360325551</v>
      </c>
      <c r="C45" s="661">
        <f>'X22.55 DOF'!C38</f>
        <v>8.5529215093278879</v>
      </c>
      <c r="D45" s="661">
        <f>'X22.55 DOF'!D38</f>
        <v>8.3271518575249903</v>
      </c>
      <c r="E45" s="661">
        <f>'X22.55 DOF'!E38</f>
        <v>7.7591704813273639</v>
      </c>
      <c r="F45" s="661">
        <f>'X22.55 DOF'!F38</f>
        <v>8.5494969600683106</v>
      </c>
      <c r="G45" s="661">
        <f>'X22.55 DOF'!G38</f>
        <v>8.2512803676105371</v>
      </c>
      <c r="H45" s="661">
        <f>'X22.55 DOF'!H38</f>
        <v>8.4233080222976202</v>
      </c>
      <c r="I45" s="661">
        <f>'X22.55 DOF'!I38</f>
        <v>8.4183028169981569</v>
      </c>
      <c r="J45" s="661">
        <f>'X22.55 DOF'!J38</f>
        <v>8.7602506877325617</v>
      </c>
      <c r="K45" s="661">
        <f>'X22.55 DOF'!K38</f>
        <v>8.6833256326183559</v>
      </c>
      <c r="L45" s="661">
        <f>'X22.55 DOF'!L38</f>
        <v>8.1153442564207303</v>
      </c>
      <c r="M45" s="661">
        <f>'X22.55 DOF'!M38</f>
        <v>8.3803670720409293</v>
      </c>
      <c r="O45" s="561"/>
    </row>
    <row r="46" spans="1:16" ht="13.5" thickBot="1" x14ac:dyDescent="0.25">
      <c r="A46" s="644" t="s">
        <v>347</v>
      </c>
      <c r="B46" s="645" t="s">
        <v>1</v>
      </c>
      <c r="C46" s="645" t="s">
        <v>2</v>
      </c>
      <c r="D46" s="645" t="s">
        <v>3</v>
      </c>
      <c r="E46" s="645" t="s">
        <v>4</v>
      </c>
      <c r="F46" s="645" t="s">
        <v>5</v>
      </c>
      <c r="G46" s="645" t="s">
        <v>6</v>
      </c>
      <c r="H46" s="645" t="s">
        <v>7</v>
      </c>
      <c r="I46" s="645" t="s">
        <v>8</v>
      </c>
      <c r="J46" s="645" t="s">
        <v>9</v>
      </c>
      <c r="K46" s="645" t="s">
        <v>10</v>
      </c>
      <c r="L46" s="645" t="s">
        <v>11</v>
      </c>
      <c r="M46" s="645" t="s">
        <v>12</v>
      </c>
      <c r="O46" s="561"/>
    </row>
    <row r="47" spans="1:16" ht="13.5" thickBot="1" x14ac:dyDescent="0.25">
      <c r="A47" s="646">
        <v>324422257</v>
      </c>
      <c r="B47" s="668">
        <f>$A$47*B45/100</f>
        <v>25237068</v>
      </c>
      <c r="C47" s="668">
        <f t="shared" ref="C47:M47" si="14">$A$47*C45/100</f>
        <v>27747581</v>
      </c>
      <c r="D47" s="668">
        <f t="shared" si="14"/>
        <v>27015134</v>
      </c>
      <c r="E47" s="668">
        <f t="shared" si="14"/>
        <v>25172475.999999996</v>
      </c>
      <c r="F47" s="668">
        <f t="shared" si="14"/>
        <v>27736471</v>
      </c>
      <c r="G47" s="668">
        <f t="shared" si="14"/>
        <v>26768990</v>
      </c>
      <c r="H47" s="668">
        <f t="shared" si="14"/>
        <v>27327086.000000004</v>
      </c>
      <c r="I47" s="668">
        <f t="shared" si="14"/>
        <v>27310848</v>
      </c>
      <c r="J47" s="668">
        <f t="shared" si="14"/>
        <v>28420203</v>
      </c>
      <c r="K47" s="668">
        <f t="shared" si="14"/>
        <v>28170641</v>
      </c>
      <c r="L47" s="668">
        <f t="shared" si="14"/>
        <v>26327983</v>
      </c>
      <c r="M47" s="668">
        <f t="shared" si="14"/>
        <v>27187776</v>
      </c>
      <c r="N47" s="648">
        <f>SUM(B47)</f>
        <v>25237068</v>
      </c>
      <c r="O47" s="561">
        <f t="shared" si="2"/>
        <v>52984649</v>
      </c>
      <c r="P47" s="561"/>
    </row>
    <row r="48" spans="1:16" ht="13.5" thickBot="1" x14ac:dyDescent="0.25">
      <c r="A48" s="652">
        <v>0.22500000000000001</v>
      </c>
      <c r="B48" s="667">
        <v>0.22500000000000001</v>
      </c>
      <c r="C48" s="667">
        <v>0.22500000000000001</v>
      </c>
      <c r="D48" s="667">
        <v>0.22500000000000001</v>
      </c>
      <c r="E48" s="667">
        <v>0.22500000000000001</v>
      </c>
      <c r="F48" s="667">
        <v>0.22500000000000001</v>
      </c>
      <c r="G48" s="667">
        <v>0.22500000000000001</v>
      </c>
      <c r="H48" s="667">
        <v>0.22500000000000001</v>
      </c>
      <c r="I48" s="667">
        <v>0.22500000000000001</v>
      </c>
      <c r="J48" s="667">
        <v>0.22500000000000001</v>
      </c>
      <c r="K48" s="667">
        <v>0.22500000000000001</v>
      </c>
      <c r="L48" s="667">
        <v>0.22500000000000001</v>
      </c>
      <c r="M48" s="667">
        <v>0.22500000000000001</v>
      </c>
      <c r="N48" s="648"/>
      <c r="O48" s="561"/>
    </row>
    <row r="49" spans="1:16" ht="13.5" thickBot="1" x14ac:dyDescent="0.25">
      <c r="A49" s="646">
        <f t="shared" ref="A49:M49" si="15">A47*A48</f>
        <v>72995007.825000003</v>
      </c>
      <c r="B49" s="655">
        <f t="shared" si="15"/>
        <v>5678340.2999999998</v>
      </c>
      <c r="C49" s="655">
        <f t="shared" si="15"/>
        <v>6243205.7250000006</v>
      </c>
      <c r="D49" s="655">
        <f t="shared" si="15"/>
        <v>6078405.1500000004</v>
      </c>
      <c r="E49" s="655">
        <f t="shared" si="15"/>
        <v>5663807.0999999996</v>
      </c>
      <c r="F49" s="655">
        <f t="shared" si="15"/>
        <v>6240705.9750000006</v>
      </c>
      <c r="G49" s="655">
        <f t="shared" si="15"/>
        <v>6023022.75</v>
      </c>
      <c r="H49" s="655">
        <f t="shared" si="15"/>
        <v>6148594.3500000006</v>
      </c>
      <c r="I49" s="655">
        <f t="shared" si="15"/>
        <v>6144940.7999999998</v>
      </c>
      <c r="J49" s="655">
        <f t="shared" si="15"/>
        <v>6394545.6749999998</v>
      </c>
      <c r="K49" s="655">
        <f t="shared" si="15"/>
        <v>6338394.2250000006</v>
      </c>
      <c r="L49" s="655">
        <f t="shared" si="15"/>
        <v>5923796.1749999998</v>
      </c>
      <c r="M49" s="655">
        <f t="shared" si="15"/>
        <v>6117249.6000000006</v>
      </c>
      <c r="N49" s="648">
        <f>SUM(B49)</f>
        <v>5678340.2999999998</v>
      </c>
      <c r="O49" s="561">
        <f t="shared" si="2"/>
        <v>11921546.025</v>
      </c>
      <c r="P49" s="561"/>
    </row>
    <row r="50" spans="1:16" x14ac:dyDescent="0.2">
      <c r="A50" s="656" t="s">
        <v>348</v>
      </c>
      <c r="B50" s="657">
        <v>2973029.93</v>
      </c>
      <c r="C50" s="657">
        <v>2991400.51</v>
      </c>
      <c r="D50" s="657">
        <v>3398867.13</v>
      </c>
      <c r="E50" s="657">
        <v>3261038.01</v>
      </c>
      <c r="F50" s="657">
        <v>3480510.59</v>
      </c>
      <c r="G50" s="657">
        <v>3343876.25</v>
      </c>
      <c r="H50" s="657">
        <v>3466561.02</v>
      </c>
      <c r="I50" s="657">
        <v>3440989.09</v>
      </c>
      <c r="J50" s="657">
        <v>3282805.89</v>
      </c>
      <c r="K50" s="657">
        <v>3455841.05</v>
      </c>
      <c r="L50" s="657">
        <v>3328385.93</v>
      </c>
      <c r="M50" s="657">
        <v>2449944.6</v>
      </c>
      <c r="O50" s="561"/>
    </row>
    <row r="51" spans="1:16" ht="13.5" thickBot="1" x14ac:dyDescent="0.25">
      <c r="A51" s="656" t="s">
        <v>349</v>
      </c>
      <c r="B51" s="657">
        <f>B49-B50</f>
        <v>2705310.3699999996</v>
      </c>
      <c r="C51" s="657">
        <f t="shared" ref="C51:M51" si="16">C49-C50</f>
        <v>3251805.2150000008</v>
      </c>
      <c r="D51" s="657">
        <f t="shared" si="16"/>
        <v>2679538.0200000005</v>
      </c>
      <c r="E51" s="657">
        <f t="shared" si="16"/>
        <v>2402769.09</v>
      </c>
      <c r="F51" s="657">
        <f t="shared" si="16"/>
        <v>2760195.3850000007</v>
      </c>
      <c r="G51" s="657">
        <f t="shared" si="16"/>
        <v>2679146.5</v>
      </c>
      <c r="H51" s="657">
        <f t="shared" si="16"/>
        <v>2682033.3300000005</v>
      </c>
      <c r="I51" s="657">
        <f t="shared" si="16"/>
        <v>2703951.71</v>
      </c>
      <c r="J51" s="657">
        <f t="shared" si="16"/>
        <v>3111739.7849999997</v>
      </c>
      <c r="K51" s="657">
        <f t="shared" si="16"/>
        <v>2882553.1750000007</v>
      </c>
      <c r="L51" s="657">
        <f t="shared" si="16"/>
        <v>2595410.2449999996</v>
      </c>
      <c r="M51" s="657">
        <f t="shared" si="16"/>
        <v>3667305.0000000005</v>
      </c>
      <c r="O51" s="561"/>
    </row>
    <row r="52" spans="1:16" ht="12.75" customHeight="1" thickBot="1" x14ac:dyDescent="0.25">
      <c r="A52" s="658" t="s">
        <v>389</v>
      </c>
      <c r="B52" s="659">
        <f>B50+B51</f>
        <v>5678340.2999999998</v>
      </c>
      <c r="C52" s="659">
        <f t="shared" ref="C52:M52" si="17">C50+C51</f>
        <v>6243205.7250000006</v>
      </c>
      <c r="D52" s="659">
        <f t="shared" si="17"/>
        <v>6078405.1500000004</v>
      </c>
      <c r="E52" s="659">
        <f t="shared" si="17"/>
        <v>5663807.0999999996</v>
      </c>
      <c r="F52" s="659">
        <f t="shared" si="17"/>
        <v>6240705.9750000006</v>
      </c>
      <c r="G52" s="659">
        <f t="shared" si="17"/>
        <v>6023022.75</v>
      </c>
      <c r="H52" s="659">
        <f t="shared" si="17"/>
        <v>6148594.3500000006</v>
      </c>
      <c r="I52" s="659">
        <f t="shared" si="17"/>
        <v>6144940.7999999998</v>
      </c>
      <c r="J52" s="659">
        <f t="shared" si="17"/>
        <v>6394545.6749999998</v>
      </c>
      <c r="K52" s="659">
        <f t="shared" si="17"/>
        <v>6338394.2250000006</v>
      </c>
      <c r="L52" s="659">
        <f t="shared" si="17"/>
        <v>5923796.1749999998</v>
      </c>
      <c r="M52" s="659">
        <f t="shared" si="17"/>
        <v>6117249.6000000006</v>
      </c>
      <c r="O52" s="561"/>
    </row>
    <row r="53" spans="1:16" ht="12.75" customHeight="1" x14ac:dyDescent="0.2">
      <c r="A53" s="669"/>
      <c r="O53" s="561"/>
    </row>
    <row r="54" spans="1:16" x14ac:dyDescent="0.2">
      <c r="A54" s="1232" t="s">
        <v>346</v>
      </c>
      <c r="B54" s="1232"/>
      <c r="C54" s="1232"/>
      <c r="D54" s="1232"/>
      <c r="E54" s="1232"/>
      <c r="F54" s="1232"/>
      <c r="G54" s="1232"/>
      <c r="H54" s="1232"/>
      <c r="I54" s="1232"/>
      <c r="J54" s="1232"/>
      <c r="K54" s="1232"/>
      <c r="L54" s="1232"/>
      <c r="M54" s="1232"/>
      <c r="O54" s="561"/>
    </row>
    <row r="55" spans="1:16" x14ac:dyDescent="0.2">
      <c r="A55" s="1237" t="s">
        <v>460</v>
      </c>
      <c r="B55" s="1237"/>
      <c r="C55" s="1237"/>
      <c r="D55" s="1237"/>
      <c r="E55" s="1237"/>
      <c r="F55" s="1237"/>
      <c r="G55" s="1237"/>
      <c r="H55" s="1237"/>
      <c r="I55" s="1237"/>
      <c r="J55" s="1237"/>
      <c r="K55" s="1237"/>
      <c r="L55" s="1237"/>
      <c r="M55" s="1237"/>
      <c r="O55" s="561"/>
    </row>
    <row r="56" spans="1:16" x14ac:dyDescent="0.2">
      <c r="A56" s="642"/>
      <c r="B56" s="643"/>
      <c r="C56" s="643"/>
      <c r="D56" s="643"/>
      <c r="E56" s="643"/>
      <c r="F56" s="643"/>
      <c r="G56" s="643"/>
      <c r="H56" s="643"/>
      <c r="I56" s="643"/>
      <c r="J56" s="643"/>
      <c r="K56" s="643"/>
      <c r="L56" s="643"/>
      <c r="M56" s="643"/>
      <c r="O56" s="561"/>
    </row>
    <row r="57" spans="1:16" ht="13.5" thickBot="1" x14ac:dyDescent="0.25">
      <c r="A57" s="660">
        <f>SUM(B57:M57)</f>
        <v>100.00000000000001</v>
      </c>
      <c r="B57" s="661">
        <f>'X22.55 DOF'!B47</f>
        <v>12.834652867432156</v>
      </c>
      <c r="C57" s="661">
        <f>'X22.55 DOF'!C47</f>
        <v>4.1366927883890812</v>
      </c>
      <c r="D57" s="661">
        <f>'X22.55 DOF'!D47</f>
        <v>4.1366927883890812</v>
      </c>
      <c r="E57" s="661">
        <f>'X22.55 DOF'!E47</f>
        <v>18.097556543258769</v>
      </c>
      <c r="F57" s="661">
        <f>'X22.55 DOF'!F47</f>
        <v>4.1366927883890812</v>
      </c>
      <c r="G57" s="661">
        <f>'X22.55 DOF'!G47</f>
        <v>4.1366927883890812</v>
      </c>
      <c r="H57" s="661">
        <f>'X22.55 DOF'!H47</f>
        <v>22.347899677819097</v>
      </c>
      <c r="I57" s="661">
        <f>'X22.55 DOF'!I47</f>
        <v>4.1366927883890812</v>
      </c>
      <c r="J57" s="661">
        <f>'X22.55 DOF'!J47</f>
        <v>4.1366927883890812</v>
      </c>
      <c r="K57" s="661">
        <f>'X22.55 DOF'!K47</f>
        <v>13.626348604377329</v>
      </c>
      <c r="L57" s="661">
        <f>'X22.55 DOF'!L47</f>
        <v>4.1366927883890812</v>
      </c>
      <c r="M57" s="661">
        <f>'X22.55 DOF'!M47</f>
        <v>4.1366927883890812</v>
      </c>
      <c r="O57" s="561"/>
    </row>
    <row r="58" spans="1:16" ht="13.5" thickBot="1" x14ac:dyDescent="0.25">
      <c r="A58" s="644" t="s">
        <v>347</v>
      </c>
      <c r="B58" s="645" t="s">
        <v>1</v>
      </c>
      <c r="C58" s="645" t="s">
        <v>2</v>
      </c>
      <c r="D58" s="645" t="s">
        <v>3</v>
      </c>
      <c r="E58" s="645" t="s">
        <v>4</v>
      </c>
      <c r="F58" s="645" t="s">
        <v>5</v>
      </c>
      <c r="G58" s="645" t="s">
        <v>6</v>
      </c>
      <c r="H58" s="645" t="s">
        <v>7</v>
      </c>
      <c r="I58" s="645" t="s">
        <v>8</v>
      </c>
      <c r="J58" s="645" t="s">
        <v>9</v>
      </c>
      <c r="K58" s="645" t="s">
        <v>10</v>
      </c>
      <c r="L58" s="645" t="s">
        <v>11</v>
      </c>
      <c r="M58" s="645" t="s">
        <v>12</v>
      </c>
      <c r="O58" s="561"/>
    </row>
    <row r="59" spans="1:16" ht="13.5" thickBot="1" x14ac:dyDescent="0.25">
      <c r="A59" s="646">
        <v>408537251</v>
      </c>
      <c r="B59" s="662">
        <f>$A$59*B57/100</f>
        <v>52434338.000000007</v>
      </c>
      <c r="C59" s="662">
        <f t="shared" ref="C59:M59" si="18">$A$59*C57/100</f>
        <v>16899931</v>
      </c>
      <c r="D59" s="662">
        <f t="shared" si="18"/>
        <v>16899931</v>
      </c>
      <c r="E59" s="662">
        <f t="shared" si="18"/>
        <v>73935260</v>
      </c>
      <c r="F59" s="662">
        <f t="shared" si="18"/>
        <v>16899931</v>
      </c>
      <c r="G59" s="662">
        <f t="shared" si="18"/>
        <v>16899931</v>
      </c>
      <c r="H59" s="662">
        <f t="shared" si="18"/>
        <v>91299495</v>
      </c>
      <c r="I59" s="662">
        <f t="shared" si="18"/>
        <v>16899931</v>
      </c>
      <c r="J59" s="662">
        <f t="shared" si="18"/>
        <v>16899931</v>
      </c>
      <c r="K59" s="662">
        <f t="shared" si="18"/>
        <v>55668710</v>
      </c>
      <c r="L59" s="662">
        <f t="shared" si="18"/>
        <v>16899931</v>
      </c>
      <c r="M59" s="662">
        <f t="shared" si="18"/>
        <v>16899931</v>
      </c>
      <c r="N59" s="648">
        <f>SUM(B59)</f>
        <v>52434338.000000007</v>
      </c>
      <c r="O59" s="561">
        <f t="shared" si="2"/>
        <v>69334269</v>
      </c>
    </row>
    <row r="60" spans="1:16" ht="13.5" thickBot="1" x14ac:dyDescent="0.25">
      <c r="A60" s="652">
        <v>0.22500000000000001</v>
      </c>
      <c r="B60" s="667">
        <v>0.22500000000000001</v>
      </c>
      <c r="C60" s="667">
        <v>0.22500000000000001</v>
      </c>
      <c r="D60" s="667">
        <v>0.22500000000000001</v>
      </c>
      <c r="E60" s="667">
        <v>0.22500000000000001</v>
      </c>
      <c r="F60" s="667">
        <v>0.22500000000000001</v>
      </c>
      <c r="G60" s="667">
        <v>0.22500000000000001</v>
      </c>
      <c r="H60" s="667">
        <v>0.22500000000000001</v>
      </c>
      <c r="I60" s="667">
        <v>0.22500000000000001</v>
      </c>
      <c r="J60" s="667">
        <v>0.22500000000000001</v>
      </c>
      <c r="K60" s="667">
        <v>0.22500000000000001</v>
      </c>
      <c r="L60" s="667">
        <v>0.22500000000000001</v>
      </c>
      <c r="M60" s="667">
        <v>0.22500000000000001</v>
      </c>
      <c r="N60" s="648"/>
      <c r="O60" s="561"/>
    </row>
    <row r="61" spans="1:16" ht="13.5" thickBot="1" x14ac:dyDescent="0.25">
      <c r="A61" s="646">
        <f>A59*A60</f>
        <v>91920881.475000009</v>
      </c>
      <c r="B61" s="655">
        <f t="shared" ref="B61:M61" si="19">B59*B60</f>
        <v>11797726.050000003</v>
      </c>
      <c r="C61" s="655">
        <f t="shared" si="19"/>
        <v>3802484.4750000001</v>
      </c>
      <c r="D61" s="655">
        <f t="shared" si="19"/>
        <v>3802484.4750000001</v>
      </c>
      <c r="E61" s="655">
        <f t="shared" si="19"/>
        <v>16635433.5</v>
      </c>
      <c r="F61" s="655">
        <f t="shared" si="19"/>
        <v>3802484.4750000001</v>
      </c>
      <c r="G61" s="655">
        <f t="shared" si="19"/>
        <v>3802484.4750000001</v>
      </c>
      <c r="H61" s="655">
        <f t="shared" si="19"/>
        <v>20542386.375</v>
      </c>
      <c r="I61" s="655">
        <f t="shared" si="19"/>
        <v>3802484.4750000001</v>
      </c>
      <c r="J61" s="655">
        <f t="shared" si="19"/>
        <v>3802484.4750000001</v>
      </c>
      <c r="K61" s="655">
        <f t="shared" si="19"/>
        <v>12525459.75</v>
      </c>
      <c r="L61" s="655">
        <f t="shared" si="19"/>
        <v>3802484.4750000001</v>
      </c>
      <c r="M61" s="655">
        <f t="shared" si="19"/>
        <v>3802484.4750000001</v>
      </c>
      <c r="N61" s="648">
        <f>SUM(B61)</f>
        <v>11797726.050000003</v>
      </c>
      <c r="O61" s="561">
        <f t="shared" si="2"/>
        <v>15600210.525000002</v>
      </c>
    </row>
    <row r="62" spans="1:16" x14ac:dyDescent="0.2">
      <c r="A62" s="656" t="s">
        <v>348</v>
      </c>
      <c r="B62" s="657">
        <v>4226222.5351250712</v>
      </c>
      <c r="C62" s="657">
        <v>3292135.8090934348</v>
      </c>
      <c r="D62" s="657">
        <v>3292135.8090934348</v>
      </c>
      <c r="E62" s="657">
        <v>4973806.6755524464</v>
      </c>
      <c r="F62" s="657">
        <v>3292135.8090934348</v>
      </c>
      <c r="G62" s="657">
        <v>3292135.8090934348</v>
      </c>
      <c r="H62" s="657">
        <v>4182016.5370987086</v>
      </c>
      <c r="I62" s="657">
        <v>3292135.8090934353</v>
      </c>
      <c r="J62" s="657">
        <v>3292135.8090934353</v>
      </c>
      <c r="K62" s="657">
        <v>4360392.779476299</v>
      </c>
      <c r="L62" s="657">
        <v>3292135.8090934358</v>
      </c>
      <c r="M62" s="657">
        <v>3292135.8090934358</v>
      </c>
      <c r="O62" s="561"/>
    </row>
    <row r="63" spans="1:16" ht="13.5" thickBot="1" x14ac:dyDescent="0.25">
      <c r="A63" s="656" t="s">
        <v>349</v>
      </c>
      <c r="B63" s="657">
        <f>B61-B62</f>
        <v>7571503.5148749314</v>
      </c>
      <c r="C63" s="657">
        <f t="shared" ref="C63:M63" si="20">C61-C62</f>
        <v>510348.66590656526</v>
      </c>
      <c r="D63" s="657">
        <f t="shared" si="20"/>
        <v>510348.66590656526</v>
      </c>
      <c r="E63" s="657">
        <f t="shared" si="20"/>
        <v>11661626.824447554</v>
      </c>
      <c r="F63" s="657">
        <f t="shared" si="20"/>
        <v>510348.66590656526</v>
      </c>
      <c r="G63" s="657">
        <f t="shared" si="20"/>
        <v>510348.66590656526</v>
      </c>
      <c r="H63" s="657">
        <f t="shared" si="20"/>
        <v>16360369.837901291</v>
      </c>
      <c r="I63" s="657">
        <f t="shared" si="20"/>
        <v>510348.6659065648</v>
      </c>
      <c r="J63" s="657">
        <f t="shared" si="20"/>
        <v>510348.6659065648</v>
      </c>
      <c r="K63" s="657">
        <f t="shared" si="20"/>
        <v>8165066.970523701</v>
      </c>
      <c r="L63" s="657">
        <f t="shared" si="20"/>
        <v>510348.66590656433</v>
      </c>
      <c r="M63" s="657">
        <f t="shared" si="20"/>
        <v>510348.66590656433</v>
      </c>
      <c r="O63" s="561"/>
    </row>
    <row r="64" spans="1:16" ht="13.5" thickBot="1" x14ac:dyDescent="0.25">
      <c r="A64" s="658" t="s">
        <v>389</v>
      </c>
      <c r="B64" s="659">
        <f>B62+B63</f>
        <v>11797726.050000003</v>
      </c>
      <c r="C64" s="659">
        <f t="shared" ref="C64:M64" si="21">C62+C63</f>
        <v>3802484.4750000001</v>
      </c>
      <c r="D64" s="659">
        <f t="shared" si="21"/>
        <v>3802484.4750000001</v>
      </c>
      <c r="E64" s="659">
        <f t="shared" si="21"/>
        <v>16635433.5</v>
      </c>
      <c r="F64" s="659">
        <f t="shared" si="21"/>
        <v>3802484.4750000001</v>
      </c>
      <c r="G64" s="659">
        <f t="shared" si="21"/>
        <v>3802484.4750000001</v>
      </c>
      <c r="H64" s="659">
        <f t="shared" si="21"/>
        <v>20542386.375</v>
      </c>
      <c r="I64" s="659">
        <f t="shared" si="21"/>
        <v>3802484.4750000001</v>
      </c>
      <c r="J64" s="659">
        <f t="shared" si="21"/>
        <v>3802484.4750000001</v>
      </c>
      <c r="K64" s="659">
        <f t="shared" si="21"/>
        <v>12525459.75</v>
      </c>
      <c r="L64" s="659">
        <f t="shared" si="21"/>
        <v>3802484.4750000001</v>
      </c>
      <c r="M64" s="659">
        <f t="shared" si="21"/>
        <v>3802484.4750000001</v>
      </c>
      <c r="O64" s="561"/>
    </row>
    <row r="65" spans="1:15" x14ac:dyDescent="0.2">
      <c r="A65" s="669"/>
      <c r="O65" s="561"/>
    </row>
    <row r="66" spans="1:15" x14ac:dyDescent="0.2">
      <c r="A66" s="1232" t="s">
        <v>346</v>
      </c>
      <c r="B66" s="1232"/>
      <c r="C66" s="1232"/>
      <c r="D66" s="1232"/>
      <c r="E66" s="1232"/>
      <c r="F66" s="1232"/>
      <c r="G66" s="1232"/>
      <c r="H66" s="1232"/>
      <c r="I66" s="1232"/>
      <c r="J66" s="1232"/>
      <c r="K66" s="1232"/>
      <c r="L66" s="1232"/>
      <c r="M66" s="1232"/>
      <c r="O66" s="561"/>
    </row>
    <row r="67" spans="1:15" x14ac:dyDescent="0.2">
      <c r="A67" s="1237" t="s">
        <v>461</v>
      </c>
      <c r="B67" s="1237"/>
      <c r="C67" s="1237"/>
      <c r="D67" s="1237"/>
      <c r="E67" s="1237"/>
      <c r="F67" s="1237"/>
      <c r="G67" s="1237"/>
      <c r="H67" s="1237"/>
      <c r="I67" s="1237"/>
      <c r="J67" s="1237"/>
      <c r="K67" s="1237"/>
      <c r="L67" s="1237"/>
      <c r="M67" s="1237"/>
      <c r="O67" s="561"/>
    </row>
    <row r="68" spans="1:15" x14ac:dyDescent="0.2">
      <c r="A68" s="642"/>
      <c r="B68" s="643"/>
      <c r="C68" s="643"/>
      <c r="D68" s="643"/>
      <c r="E68" s="643"/>
      <c r="F68" s="643"/>
      <c r="G68" s="643"/>
      <c r="H68" s="643"/>
      <c r="I68" s="643"/>
      <c r="J68" s="643"/>
      <c r="K68" s="643"/>
      <c r="L68" s="643"/>
      <c r="M68" s="643"/>
      <c r="O68" s="561"/>
    </row>
    <row r="69" spans="1:15" ht="13.5" thickBot="1" x14ac:dyDescent="0.25">
      <c r="A69" s="660">
        <f>SUM(B69:M69)</f>
        <v>100.00000000000001</v>
      </c>
      <c r="B69" s="661">
        <f>'X22.55 DOF'!B56</f>
        <v>7.2284029839429049</v>
      </c>
      <c r="C69" s="661">
        <f>'X22.55 DOF'!C56</f>
        <v>8.1559786716878531</v>
      </c>
      <c r="D69" s="661">
        <f>'X22.55 DOF'!D56</f>
        <v>7.7479701599466031</v>
      </c>
      <c r="E69" s="661">
        <f>'X22.55 DOF'!E56</f>
        <v>8.6096976590064607</v>
      </c>
      <c r="F69" s="661">
        <f>'X22.55 DOF'!F56</f>
        <v>8.5030398826592979</v>
      </c>
      <c r="G69" s="661">
        <f>'X22.55 DOF'!G56</f>
        <v>8.7888151726581825</v>
      </c>
      <c r="H69" s="661">
        <f>'X22.55 DOF'!H56</f>
        <v>8.3692944411684795</v>
      </c>
      <c r="I69" s="661">
        <f>'X22.55 DOF'!I56</f>
        <v>8.7359941063955819</v>
      </c>
      <c r="J69" s="661">
        <f>'X22.55 DOF'!J56</f>
        <v>8.6703063395735125</v>
      </c>
      <c r="K69" s="661">
        <f>'X22.55 DOF'!K56</f>
        <v>8.2429979937793565</v>
      </c>
      <c r="L69" s="661">
        <f>'X22.55 DOF'!L56</f>
        <v>8.6259503448071744</v>
      </c>
      <c r="M69" s="661">
        <f>'X22.55 DOF'!M56</f>
        <v>8.3215522443745957</v>
      </c>
      <c r="O69" s="561"/>
    </row>
    <row r="70" spans="1:15" ht="13.5" thickBot="1" x14ac:dyDescent="0.25">
      <c r="A70" s="644" t="s">
        <v>347</v>
      </c>
      <c r="B70" s="645" t="s">
        <v>1</v>
      </c>
      <c r="C70" s="645" t="s">
        <v>2</v>
      </c>
      <c r="D70" s="645" t="s">
        <v>3</v>
      </c>
      <c r="E70" s="645" t="s">
        <v>4</v>
      </c>
      <c r="F70" s="645" t="s">
        <v>5</v>
      </c>
      <c r="G70" s="645" t="s">
        <v>6</v>
      </c>
      <c r="H70" s="645" t="s">
        <v>7</v>
      </c>
      <c r="I70" s="645" t="s">
        <v>8</v>
      </c>
      <c r="J70" s="645" t="s">
        <v>9</v>
      </c>
      <c r="K70" s="645" t="s">
        <v>10</v>
      </c>
      <c r="L70" s="645" t="s">
        <v>11</v>
      </c>
      <c r="M70" s="645" t="s">
        <v>12</v>
      </c>
      <c r="O70" s="561"/>
    </row>
    <row r="71" spans="1:15" ht="13.5" thickBot="1" x14ac:dyDescent="0.25">
      <c r="A71" s="646">
        <v>0</v>
      </c>
      <c r="B71" s="671">
        <f>$A$71*B69/100</f>
        <v>0</v>
      </c>
      <c r="C71" s="671">
        <f t="shared" ref="C71:M71" si="22">$A$71*C69/100</f>
        <v>0</v>
      </c>
      <c r="D71" s="671">
        <f t="shared" si="22"/>
        <v>0</v>
      </c>
      <c r="E71" s="671">
        <f t="shared" si="22"/>
        <v>0</v>
      </c>
      <c r="F71" s="671">
        <f t="shared" si="22"/>
        <v>0</v>
      </c>
      <c r="G71" s="671">
        <f t="shared" si="22"/>
        <v>0</v>
      </c>
      <c r="H71" s="671">
        <f t="shared" si="22"/>
        <v>0</v>
      </c>
      <c r="I71" s="671">
        <f t="shared" si="22"/>
        <v>0</v>
      </c>
      <c r="J71" s="671">
        <f t="shared" si="22"/>
        <v>0</v>
      </c>
      <c r="K71" s="671">
        <f t="shared" si="22"/>
        <v>0</v>
      </c>
      <c r="L71" s="671">
        <f t="shared" si="22"/>
        <v>0</v>
      </c>
      <c r="M71" s="671">
        <f t="shared" si="22"/>
        <v>0</v>
      </c>
      <c r="N71" s="648">
        <f>SUM(B71)</f>
        <v>0</v>
      </c>
      <c r="O71" s="561">
        <f t="shared" si="2"/>
        <v>0</v>
      </c>
    </row>
    <row r="72" spans="1:15" ht="13.5" thickBot="1" x14ac:dyDescent="0.25">
      <c r="A72" s="652">
        <v>0.22500000000000001</v>
      </c>
      <c r="B72" s="667">
        <v>0.22500000000000001</v>
      </c>
      <c r="C72" s="667">
        <v>0.22500000000000001</v>
      </c>
      <c r="D72" s="667">
        <v>0.22500000000000001</v>
      </c>
      <c r="E72" s="667">
        <v>0.22500000000000001</v>
      </c>
      <c r="F72" s="667">
        <v>0.22500000000000001</v>
      </c>
      <c r="G72" s="667">
        <v>0.22500000000000001</v>
      </c>
      <c r="H72" s="667">
        <v>0.22500000000000001</v>
      </c>
      <c r="I72" s="667">
        <v>0.22500000000000001</v>
      </c>
      <c r="J72" s="667">
        <v>0.22500000000000001</v>
      </c>
      <c r="K72" s="667">
        <v>0.22500000000000001</v>
      </c>
      <c r="L72" s="667">
        <v>0.22500000000000001</v>
      </c>
      <c r="M72" s="667">
        <v>0.22500000000000001</v>
      </c>
      <c r="N72" s="648"/>
      <c r="O72" s="561"/>
    </row>
    <row r="73" spans="1:15" ht="13.5" thickBot="1" x14ac:dyDescent="0.25">
      <c r="A73" s="646">
        <f>A71*A72</f>
        <v>0</v>
      </c>
      <c r="B73" s="655">
        <f t="shared" ref="B73:H73" si="23">B71*B72</f>
        <v>0</v>
      </c>
      <c r="C73" s="655">
        <f t="shared" si="23"/>
        <v>0</v>
      </c>
      <c r="D73" s="655">
        <f t="shared" si="23"/>
        <v>0</v>
      </c>
      <c r="E73" s="655">
        <f t="shared" si="23"/>
        <v>0</v>
      </c>
      <c r="F73" s="655">
        <f t="shared" si="23"/>
        <v>0</v>
      </c>
      <c r="G73" s="655">
        <f t="shared" si="23"/>
        <v>0</v>
      </c>
      <c r="H73" s="655">
        <f t="shared" si="23"/>
        <v>0</v>
      </c>
      <c r="I73" s="655">
        <f>I71*I72</f>
        <v>0</v>
      </c>
      <c r="J73" s="655">
        <f>J71*J72</f>
        <v>0</v>
      </c>
      <c r="K73" s="655">
        <f>K71*K72</f>
        <v>0</v>
      </c>
      <c r="L73" s="655">
        <f>L71*L72</f>
        <v>0</v>
      </c>
      <c r="M73" s="655">
        <f>M71*M72</f>
        <v>0</v>
      </c>
      <c r="N73" s="648">
        <f>SUM(B73)</f>
        <v>0</v>
      </c>
      <c r="O73" s="561">
        <f t="shared" si="2"/>
        <v>0</v>
      </c>
    </row>
    <row r="74" spans="1:15" x14ac:dyDescent="0.2">
      <c r="A74" s="656" t="s">
        <v>348</v>
      </c>
      <c r="B74" s="657">
        <v>5804455.2000000002</v>
      </c>
      <c r="C74" s="657">
        <v>5840320.9900000002</v>
      </c>
      <c r="D74" s="657">
        <v>6635846.9900000002</v>
      </c>
      <c r="E74" s="657">
        <v>6366753.5199999996</v>
      </c>
      <c r="F74" s="657">
        <v>6795245.21</v>
      </c>
      <c r="G74" s="657">
        <v>6528484.1100000003</v>
      </c>
      <c r="H74" s="657">
        <v>6768010.4000000004</v>
      </c>
      <c r="I74" s="657">
        <v>6718084.6799999997</v>
      </c>
      <c r="J74" s="657">
        <v>6409252.2000000002</v>
      </c>
      <c r="K74" s="657">
        <v>6747081.1699999999</v>
      </c>
      <c r="L74" s="657">
        <v>6498241.7000000002</v>
      </c>
      <c r="M74" s="657">
        <v>4783198.82</v>
      </c>
      <c r="O74" s="561"/>
    </row>
    <row r="75" spans="1:15" ht="13.5" thickBot="1" x14ac:dyDescent="0.25">
      <c r="A75" s="656" t="s">
        <v>349</v>
      </c>
      <c r="B75" s="657">
        <f>B73-B74</f>
        <v>-5804455.2000000002</v>
      </c>
      <c r="C75" s="657">
        <f t="shared" ref="C75:M75" si="24">C73-C74</f>
        <v>-5840320.9900000002</v>
      </c>
      <c r="D75" s="657">
        <f t="shared" si="24"/>
        <v>-6635846.9900000002</v>
      </c>
      <c r="E75" s="657">
        <f t="shared" si="24"/>
        <v>-6366753.5199999996</v>
      </c>
      <c r="F75" s="657">
        <f t="shared" si="24"/>
        <v>-6795245.21</v>
      </c>
      <c r="G75" s="657">
        <f t="shared" si="24"/>
        <v>-6528484.1100000003</v>
      </c>
      <c r="H75" s="657">
        <f t="shared" si="24"/>
        <v>-6768010.4000000004</v>
      </c>
      <c r="I75" s="657">
        <f t="shared" si="24"/>
        <v>-6718084.6799999997</v>
      </c>
      <c r="J75" s="657">
        <f t="shared" si="24"/>
        <v>-6409252.2000000002</v>
      </c>
      <c r="K75" s="657">
        <f t="shared" si="24"/>
        <v>-6747081.1699999999</v>
      </c>
      <c r="L75" s="657">
        <f t="shared" si="24"/>
        <v>-6498241.7000000002</v>
      </c>
      <c r="M75" s="657">
        <f t="shared" si="24"/>
        <v>-4783198.82</v>
      </c>
      <c r="O75" s="561"/>
    </row>
    <row r="76" spans="1:15" ht="13.5" thickBot="1" x14ac:dyDescent="0.25">
      <c r="A76" s="658" t="s">
        <v>389</v>
      </c>
      <c r="B76" s="659">
        <f>B74+B75</f>
        <v>0</v>
      </c>
      <c r="C76" s="659">
        <f t="shared" ref="C76:M76" si="25">C74+C75</f>
        <v>0</v>
      </c>
      <c r="D76" s="659">
        <f t="shared" si="25"/>
        <v>0</v>
      </c>
      <c r="E76" s="659">
        <f t="shared" si="25"/>
        <v>0</v>
      </c>
      <c r="F76" s="659">
        <f t="shared" si="25"/>
        <v>0</v>
      </c>
      <c r="G76" s="659">
        <f t="shared" si="25"/>
        <v>0</v>
      </c>
      <c r="H76" s="659">
        <f t="shared" si="25"/>
        <v>0</v>
      </c>
      <c r="I76" s="659">
        <f t="shared" si="25"/>
        <v>0</v>
      </c>
      <c r="J76" s="659">
        <f t="shared" si="25"/>
        <v>0</v>
      </c>
      <c r="K76" s="659">
        <f t="shared" si="25"/>
        <v>0</v>
      </c>
      <c r="L76" s="659">
        <f t="shared" si="25"/>
        <v>0</v>
      </c>
      <c r="M76" s="659">
        <f t="shared" si="25"/>
        <v>0</v>
      </c>
      <c r="O76" s="561"/>
    </row>
    <row r="77" spans="1:15" x14ac:dyDescent="0.2">
      <c r="A77" s="669"/>
      <c r="O77" s="561"/>
    </row>
    <row r="78" spans="1:15" x14ac:dyDescent="0.2">
      <c r="A78" s="1232" t="s">
        <v>346</v>
      </c>
      <c r="B78" s="1232"/>
      <c r="C78" s="1232"/>
      <c r="D78" s="1232"/>
      <c r="E78" s="1232"/>
      <c r="F78" s="1232"/>
      <c r="G78" s="1232"/>
      <c r="H78" s="1232"/>
      <c r="I78" s="1232"/>
      <c r="J78" s="1232"/>
      <c r="K78" s="1232"/>
      <c r="L78" s="1232"/>
      <c r="M78" s="1232"/>
      <c r="O78" s="561"/>
    </row>
    <row r="79" spans="1:15" x14ac:dyDescent="0.2">
      <c r="A79" s="1237" t="s">
        <v>462</v>
      </c>
      <c r="B79" s="1237"/>
      <c r="C79" s="1237"/>
      <c r="D79" s="1237"/>
      <c r="E79" s="1237"/>
      <c r="F79" s="1237"/>
      <c r="G79" s="1237"/>
      <c r="H79" s="1237"/>
      <c r="I79" s="1237"/>
      <c r="J79" s="1237"/>
      <c r="K79" s="1237"/>
      <c r="L79" s="1237"/>
      <c r="M79" s="1237"/>
      <c r="O79" s="561"/>
    </row>
    <row r="80" spans="1:15" x14ac:dyDescent="0.2">
      <c r="A80" s="642"/>
      <c r="B80" s="643"/>
      <c r="C80" s="643"/>
      <c r="D80" s="643"/>
      <c r="E80" s="643"/>
      <c r="F80" s="643"/>
      <c r="G80" s="643"/>
      <c r="H80" s="643"/>
      <c r="I80" s="643"/>
      <c r="J80" s="643"/>
      <c r="K80" s="643"/>
      <c r="L80" s="643"/>
      <c r="M80" s="643"/>
      <c r="O80" s="561"/>
    </row>
    <row r="81" spans="1:15" ht="13.5" thickBot="1" x14ac:dyDescent="0.25">
      <c r="A81" s="660">
        <f>SUM(B81:M81)</f>
        <v>100</v>
      </c>
      <c r="B81" s="661">
        <f>'X22.55 DOF'!B65</f>
        <v>9.6233603508077863</v>
      </c>
      <c r="C81" s="661">
        <f>'X22.55 DOF'!C65</f>
        <v>10.748288592980021</v>
      </c>
      <c r="D81" s="661">
        <f>'X22.55 DOF'!D65</f>
        <v>8.3416216676220181</v>
      </c>
      <c r="E81" s="661">
        <f>'X22.55 DOF'!E65</f>
        <v>7.7418848363468991</v>
      </c>
      <c r="F81" s="661">
        <f>'X22.55 DOF'!F65</f>
        <v>8.2777873027973818</v>
      </c>
      <c r="G81" s="661">
        <f>'X22.55 DOF'!G65</f>
        <v>7.1895102651215463</v>
      </c>
      <c r="H81" s="661">
        <f>'X22.55 DOF'!H65</f>
        <v>7.7887313789070571</v>
      </c>
      <c r="I81" s="661">
        <f>'X22.55 DOF'!I65</f>
        <v>8.0322293751536051</v>
      </c>
      <c r="J81" s="661">
        <f>'X22.55 DOF'!J65</f>
        <v>7.8927197131717435</v>
      </c>
      <c r="K81" s="661">
        <f>'X22.55 DOF'!K65</f>
        <v>8.0862827390428791</v>
      </c>
      <c r="L81" s="661">
        <f>'X22.55 DOF'!L65</f>
        <v>7.8293995965561178</v>
      </c>
      <c r="M81" s="661">
        <f>'X22.55 DOF'!M65</f>
        <v>8.4481841814929446</v>
      </c>
      <c r="O81" s="561"/>
    </row>
    <row r="82" spans="1:15" ht="13.5" thickBot="1" x14ac:dyDescent="0.25">
      <c r="A82" s="644" t="s">
        <v>347</v>
      </c>
      <c r="B82" s="645" t="s">
        <v>1</v>
      </c>
      <c r="C82" s="645" t="s">
        <v>2</v>
      </c>
      <c r="D82" s="645" t="s">
        <v>3</v>
      </c>
      <c r="E82" s="645" t="s">
        <v>4</v>
      </c>
      <c r="F82" s="645" t="s">
        <v>5</v>
      </c>
      <c r="G82" s="645" t="s">
        <v>6</v>
      </c>
      <c r="H82" s="645" t="s">
        <v>7</v>
      </c>
      <c r="I82" s="645" t="s">
        <v>8</v>
      </c>
      <c r="J82" s="645" t="s">
        <v>9</v>
      </c>
      <c r="K82" s="645" t="s">
        <v>10</v>
      </c>
      <c r="L82" s="645" t="s">
        <v>11</v>
      </c>
      <c r="M82" s="645" t="s">
        <v>12</v>
      </c>
      <c r="O82" s="561"/>
    </row>
    <row r="83" spans="1:15" ht="13.5" thickBot="1" x14ac:dyDescent="0.25">
      <c r="A83" s="646">
        <v>68060519</v>
      </c>
      <c r="B83" s="672">
        <f>$A$83*B81/100</f>
        <v>6549709</v>
      </c>
      <c r="C83" s="672">
        <f t="shared" ref="C83:M83" si="26">$A$83*C81/100</f>
        <v>7315341</v>
      </c>
      <c r="D83" s="672">
        <f t="shared" si="26"/>
        <v>5677351</v>
      </c>
      <c r="E83" s="672">
        <f t="shared" si="26"/>
        <v>5269167</v>
      </c>
      <c r="F83" s="672">
        <f t="shared" si="26"/>
        <v>5633905</v>
      </c>
      <c r="G83" s="672">
        <f t="shared" si="26"/>
        <v>4893218.0000000009</v>
      </c>
      <c r="H83" s="672">
        <f t="shared" si="26"/>
        <v>5301050.9999999991</v>
      </c>
      <c r="I83" s="672">
        <f t="shared" si="26"/>
        <v>5466777.0000000009</v>
      </c>
      <c r="J83" s="672">
        <f t="shared" si="26"/>
        <v>5371826</v>
      </c>
      <c r="K83" s="672">
        <f t="shared" si="26"/>
        <v>5503565.9999999991</v>
      </c>
      <c r="L83" s="672">
        <f t="shared" si="26"/>
        <v>5328730</v>
      </c>
      <c r="M83" s="672">
        <f t="shared" si="26"/>
        <v>5749878</v>
      </c>
      <c r="N83" s="561">
        <f>SUM(B83)</f>
        <v>6549709</v>
      </c>
      <c r="O83" s="561">
        <f t="shared" ref="O83:O85" si="27">SUM(B83:C83)</f>
        <v>13865050</v>
      </c>
    </row>
    <row r="84" spans="1:15" ht="13.5" thickBot="1" x14ac:dyDescent="0.25">
      <c r="A84" s="652">
        <v>0.22500000000000001</v>
      </c>
      <c r="B84" s="667">
        <v>0.22500000000000001</v>
      </c>
      <c r="C84" s="667">
        <v>0.22500000000000001</v>
      </c>
      <c r="D84" s="667">
        <v>0.22500000000000001</v>
      </c>
      <c r="E84" s="667">
        <v>0.22500000000000001</v>
      </c>
      <c r="F84" s="667">
        <v>0.22500000000000001</v>
      </c>
      <c r="G84" s="667">
        <v>0.22500000000000001</v>
      </c>
      <c r="H84" s="667">
        <v>0.22500000000000001</v>
      </c>
      <c r="I84" s="667">
        <v>0.22500000000000001</v>
      </c>
      <c r="J84" s="667">
        <v>0.22500000000000001</v>
      </c>
      <c r="K84" s="667">
        <v>0.22500000000000001</v>
      </c>
      <c r="L84" s="667">
        <v>0.22500000000000001</v>
      </c>
      <c r="M84" s="667">
        <v>0.22500000000000001</v>
      </c>
      <c r="N84" s="561"/>
      <c r="O84" s="561"/>
    </row>
    <row r="85" spans="1:15" ht="13.5" thickBot="1" x14ac:dyDescent="0.25">
      <c r="A85" s="646">
        <f t="shared" ref="A85:M85" si="28">A83*A84</f>
        <v>15313616.775</v>
      </c>
      <c r="B85" s="655">
        <f t="shared" si="28"/>
        <v>1473684.5250000001</v>
      </c>
      <c r="C85" s="655">
        <f t="shared" si="28"/>
        <v>1645951.7250000001</v>
      </c>
      <c r="D85" s="655">
        <f t="shared" si="28"/>
        <v>1277403.9750000001</v>
      </c>
      <c r="E85" s="655">
        <f t="shared" si="28"/>
        <v>1185562.575</v>
      </c>
      <c r="F85" s="655">
        <f t="shared" si="28"/>
        <v>1267628.625</v>
      </c>
      <c r="G85" s="655">
        <f t="shared" si="28"/>
        <v>1100974.0500000003</v>
      </c>
      <c r="H85" s="655">
        <f t="shared" si="28"/>
        <v>1192736.4749999999</v>
      </c>
      <c r="I85" s="655">
        <f t="shared" si="28"/>
        <v>1230024.8250000002</v>
      </c>
      <c r="J85" s="655">
        <f t="shared" si="28"/>
        <v>1208660.8500000001</v>
      </c>
      <c r="K85" s="655">
        <f t="shared" si="28"/>
        <v>1238302.3499999999</v>
      </c>
      <c r="L85" s="655">
        <f t="shared" si="28"/>
        <v>1198964.25</v>
      </c>
      <c r="M85" s="655">
        <f t="shared" si="28"/>
        <v>1293722.55</v>
      </c>
      <c r="N85" s="561">
        <f>SUM(B85)</f>
        <v>1473684.5250000001</v>
      </c>
      <c r="O85" s="561">
        <f t="shared" si="27"/>
        <v>3119636.25</v>
      </c>
    </row>
    <row r="86" spans="1:15" x14ac:dyDescent="0.2">
      <c r="A86" s="656" t="s">
        <v>348</v>
      </c>
      <c r="B86" s="657">
        <v>630182.47499999998</v>
      </c>
      <c r="C86" s="657">
        <v>453572.32500000001</v>
      </c>
      <c r="D86" s="657">
        <v>421343.77500000002</v>
      </c>
      <c r="E86" s="657">
        <v>466421.4</v>
      </c>
      <c r="F86" s="657">
        <v>407954.92499999999</v>
      </c>
      <c r="G86" s="657">
        <v>436274.32500000001</v>
      </c>
      <c r="H86" s="657">
        <v>435245.4</v>
      </c>
      <c r="I86" s="657">
        <v>416192.625</v>
      </c>
      <c r="J86" s="657">
        <v>432105.07500000001</v>
      </c>
      <c r="K86" s="657">
        <v>412083.67499999999</v>
      </c>
      <c r="L86" s="657">
        <v>462016.125</v>
      </c>
      <c r="M86" s="657">
        <v>503765.77500000002</v>
      </c>
      <c r="N86" s="561"/>
    </row>
    <row r="87" spans="1:15" ht="13.5" thickBot="1" x14ac:dyDescent="0.25">
      <c r="A87" s="656" t="s">
        <v>349</v>
      </c>
      <c r="B87" s="657">
        <f>B85-B86</f>
        <v>843502.05000000016</v>
      </c>
      <c r="C87" s="657">
        <f t="shared" ref="C87:M87" si="29">C85-C86</f>
        <v>1192379.4000000001</v>
      </c>
      <c r="D87" s="657">
        <f t="shared" si="29"/>
        <v>856060.20000000007</v>
      </c>
      <c r="E87" s="657">
        <f t="shared" si="29"/>
        <v>719141.17499999993</v>
      </c>
      <c r="F87" s="657">
        <f t="shared" si="29"/>
        <v>859673.7</v>
      </c>
      <c r="G87" s="657">
        <f t="shared" si="29"/>
        <v>664699.72500000033</v>
      </c>
      <c r="H87" s="657">
        <f t="shared" si="29"/>
        <v>757491.07499999984</v>
      </c>
      <c r="I87" s="657">
        <f t="shared" si="29"/>
        <v>813832.20000000019</v>
      </c>
      <c r="J87" s="657">
        <f t="shared" si="29"/>
        <v>776555.77500000014</v>
      </c>
      <c r="K87" s="657">
        <f t="shared" si="29"/>
        <v>826218.67499999981</v>
      </c>
      <c r="L87" s="657">
        <f t="shared" si="29"/>
        <v>736948.125</v>
      </c>
      <c r="M87" s="657">
        <f t="shared" si="29"/>
        <v>789956.77500000002</v>
      </c>
    </row>
    <row r="88" spans="1:15" ht="13.5" thickBot="1" x14ac:dyDescent="0.25">
      <c r="A88" s="658" t="s">
        <v>389</v>
      </c>
      <c r="B88" s="659">
        <f>B86+B87</f>
        <v>1473684.5250000001</v>
      </c>
      <c r="C88" s="659">
        <f t="shared" ref="C88:M88" si="30">C86+C87</f>
        <v>1645951.7250000001</v>
      </c>
      <c r="D88" s="659">
        <f t="shared" si="30"/>
        <v>1277403.9750000001</v>
      </c>
      <c r="E88" s="659">
        <f t="shared" si="30"/>
        <v>1185562.575</v>
      </c>
      <c r="F88" s="659">
        <f t="shared" si="30"/>
        <v>1267628.625</v>
      </c>
      <c r="G88" s="659">
        <f t="shared" si="30"/>
        <v>1100974.0500000003</v>
      </c>
      <c r="H88" s="659">
        <f t="shared" si="30"/>
        <v>1192736.4749999999</v>
      </c>
      <c r="I88" s="659">
        <f t="shared" si="30"/>
        <v>1230024.8250000002</v>
      </c>
      <c r="J88" s="659">
        <f t="shared" si="30"/>
        <v>1208660.8500000001</v>
      </c>
      <c r="K88" s="659">
        <f t="shared" si="30"/>
        <v>1238302.3499999999</v>
      </c>
      <c r="L88" s="659">
        <f t="shared" si="30"/>
        <v>1198964.25</v>
      </c>
      <c r="M88" s="659">
        <f t="shared" si="30"/>
        <v>1293722.55</v>
      </c>
    </row>
    <row r="89" spans="1:15" x14ac:dyDescent="0.2">
      <c r="A89" s="669"/>
    </row>
    <row r="90" spans="1:15" x14ac:dyDescent="0.2">
      <c r="A90" s="1232" t="s">
        <v>346</v>
      </c>
      <c r="B90" s="1232"/>
      <c r="C90" s="1232"/>
      <c r="D90" s="1232"/>
      <c r="E90" s="1232"/>
      <c r="F90" s="1232"/>
      <c r="G90" s="1232"/>
      <c r="H90" s="1232"/>
      <c r="I90" s="1232"/>
      <c r="J90" s="1232"/>
      <c r="K90" s="1232"/>
      <c r="L90" s="1232"/>
      <c r="M90" s="1232"/>
    </row>
    <row r="91" spans="1:15" x14ac:dyDescent="0.2">
      <c r="A91" s="1237" t="s">
        <v>463</v>
      </c>
      <c r="B91" s="1237"/>
      <c r="C91" s="1237"/>
      <c r="D91" s="1237"/>
      <c r="E91" s="1237"/>
      <c r="F91" s="1237"/>
      <c r="G91" s="1237"/>
      <c r="H91" s="1237"/>
      <c r="I91" s="1237"/>
      <c r="J91" s="1237"/>
      <c r="K91" s="1237"/>
      <c r="L91" s="1237"/>
      <c r="M91" s="1237"/>
    </row>
    <row r="92" spans="1:15" x14ac:dyDescent="0.2">
      <c r="A92" s="673"/>
      <c r="B92" s="643"/>
      <c r="C92" s="643"/>
      <c r="D92" s="643"/>
      <c r="E92" s="643"/>
      <c r="F92" s="643"/>
      <c r="G92" s="643"/>
      <c r="H92" s="643"/>
      <c r="I92" s="643"/>
      <c r="J92" s="643"/>
      <c r="K92" s="643"/>
      <c r="L92" s="643"/>
      <c r="M92" s="643"/>
    </row>
    <row r="93" spans="1:15" ht="13.5" thickBot="1" x14ac:dyDescent="0.25">
      <c r="A93" s="661">
        <f>SUM(B93:M93)</f>
        <v>99.999999999999957</v>
      </c>
      <c r="B93" s="661">
        <f>'X22.55 DOF'!B74</f>
        <v>8.3333333333333321</v>
      </c>
      <c r="C93" s="661">
        <f>'X22.55 DOF'!C74</f>
        <v>8.3333333333333321</v>
      </c>
      <c r="D93" s="661">
        <f>'X22.55 DOF'!D74</f>
        <v>8.3333333333333321</v>
      </c>
      <c r="E93" s="661">
        <f>'X22.55 DOF'!E74</f>
        <v>8.3333333333333321</v>
      </c>
      <c r="F93" s="661">
        <f>'X22.55 DOF'!F74</f>
        <v>8.3333333333333321</v>
      </c>
      <c r="G93" s="661">
        <f>'X22.55 DOF'!G74</f>
        <v>8.3333333333333321</v>
      </c>
      <c r="H93" s="661">
        <f>'X22.55 DOF'!H74</f>
        <v>8.3333333333333321</v>
      </c>
      <c r="I93" s="661">
        <f>'X22.55 DOF'!I74</f>
        <v>8.3333333333333321</v>
      </c>
      <c r="J93" s="661">
        <f>'X22.55 DOF'!J74</f>
        <v>8.3333333333333321</v>
      </c>
      <c r="K93" s="661">
        <f>'X22.55 DOF'!K74</f>
        <v>8.3333333333333321</v>
      </c>
      <c r="L93" s="661">
        <f>'X22.55 DOF'!L74</f>
        <v>8.3333333333333321</v>
      </c>
      <c r="M93" s="661">
        <f>'X22.55 DOF'!M74</f>
        <v>8.3333333333333321</v>
      </c>
    </row>
    <row r="94" spans="1:15" ht="13.5" thickBot="1" x14ac:dyDescent="0.25">
      <c r="A94" s="645" t="s">
        <v>347</v>
      </c>
      <c r="B94" s="645" t="s">
        <v>1</v>
      </c>
      <c r="C94" s="645" t="s">
        <v>2</v>
      </c>
      <c r="D94" s="645" t="s">
        <v>3</v>
      </c>
      <c r="E94" s="645" t="s">
        <v>4</v>
      </c>
      <c r="F94" s="645" t="s">
        <v>5</v>
      </c>
      <c r="G94" s="645" t="s">
        <v>6</v>
      </c>
      <c r="H94" s="645" t="s">
        <v>7</v>
      </c>
      <c r="I94" s="645" t="s">
        <v>8</v>
      </c>
      <c r="J94" s="645" t="s">
        <v>9</v>
      </c>
      <c r="K94" s="645" t="s">
        <v>10</v>
      </c>
      <c r="L94" s="645" t="s">
        <v>11</v>
      </c>
      <c r="M94" s="645" t="s">
        <v>12</v>
      </c>
    </row>
    <row r="95" spans="1:15" ht="13.5" thickBot="1" x14ac:dyDescent="0.25">
      <c r="A95" s="655">
        <v>13229412</v>
      </c>
      <c r="B95" s="672">
        <f>$A$95*B93/100</f>
        <v>1102450.9999999998</v>
      </c>
      <c r="C95" s="672">
        <f t="shared" ref="C95:M95" si="31">$A$95*C93/100</f>
        <v>1102450.9999999998</v>
      </c>
      <c r="D95" s="672">
        <f t="shared" si="31"/>
        <v>1102450.9999999998</v>
      </c>
      <c r="E95" s="672">
        <f t="shared" si="31"/>
        <v>1102450.9999999998</v>
      </c>
      <c r="F95" s="672">
        <f t="shared" si="31"/>
        <v>1102450.9999999998</v>
      </c>
      <c r="G95" s="672">
        <f t="shared" si="31"/>
        <v>1102450.9999999998</v>
      </c>
      <c r="H95" s="672">
        <f t="shared" si="31"/>
        <v>1102450.9999999998</v>
      </c>
      <c r="I95" s="672">
        <f t="shared" si="31"/>
        <v>1102450.9999999998</v>
      </c>
      <c r="J95" s="672">
        <f t="shared" si="31"/>
        <v>1102450.9999999998</v>
      </c>
      <c r="K95" s="672">
        <f t="shared" si="31"/>
        <v>1102450.9999999998</v>
      </c>
      <c r="L95" s="672">
        <f t="shared" si="31"/>
        <v>1102450.9999999998</v>
      </c>
      <c r="M95" s="672">
        <f t="shared" si="31"/>
        <v>1102450.9999999998</v>
      </c>
      <c r="N95" s="561">
        <f>SUM(B95)</f>
        <v>1102450.9999999998</v>
      </c>
    </row>
    <row r="96" spans="1:15" ht="13.5" thickBot="1" x14ac:dyDescent="0.25">
      <c r="A96" s="667">
        <v>0.22500000000000001</v>
      </c>
      <c r="B96" s="667">
        <v>0.22500000000000001</v>
      </c>
      <c r="C96" s="667">
        <v>0.22500000000000001</v>
      </c>
      <c r="D96" s="667">
        <v>0.22500000000000001</v>
      </c>
      <c r="E96" s="667">
        <v>0.22500000000000001</v>
      </c>
      <c r="F96" s="667">
        <v>0.22500000000000001</v>
      </c>
      <c r="G96" s="667">
        <v>0.22500000000000001</v>
      </c>
      <c r="H96" s="667">
        <v>0.22500000000000001</v>
      </c>
      <c r="I96" s="667">
        <v>0.22500000000000001</v>
      </c>
      <c r="J96" s="667">
        <v>0.22500000000000001</v>
      </c>
      <c r="K96" s="667">
        <v>0.22500000000000001</v>
      </c>
      <c r="L96" s="667">
        <v>0.22500000000000001</v>
      </c>
      <c r="M96" s="667">
        <v>0.22500000000000001</v>
      </c>
      <c r="N96" s="561"/>
    </row>
    <row r="97" spans="1:16" ht="13.5" thickBot="1" x14ac:dyDescent="0.25">
      <c r="A97" s="655">
        <f t="shared" ref="A97:M97" si="32">A95*A96</f>
        <v>2976617.7</v>
      </c>
      <c r="B97" s="655">
        <f t="shared" si="32"/>
        <v>248051.47499999995</v>
      </c>
      <c r="C97" s="655">
        <f t="shared" si="32"/>
        <v>248051.47499999995</v>
      </c>
      <c r="D97" s="655">
        <f t="shared" si="32"/>
        <v>248051.47499999995</v>
      </c>
      <c r="E97" s="655">
        <f t="shared" si="32"/>
        <v>248051.47499999995</v>
      </c>
      <c r="F97" s="655">
        <f t="shared" si="32"/>
        <v>248051.47499999995</v>
      </c>
      <c r="G97" s="655">
        <f t="shared" si="32"/>
        <v>248051.47499999995</v>
      </c>
      <c r="H97" s="655">
        <f t="shared" si="32"/>
        <v>248051.47499999995</v>
      </c>
      <c r="I97" s="655">
        <f t="shared" si="32"/>
        <v>248051.47499999995</v>
      </c>
      <c r="J97" s="655">
        <f t="shared" si="32"/>
        <v>248051.47499999995</v>
      </c>
      <c r="K97" s="655">
        <f t="shared" si="32"/>
        <v>248051.47499999995</v>
      </c>
      <c r="L97" s="655">
        <f t="shared" si="32"/>
        <v>248051.47499999995</v>
      </c>
      <c r="M97" s="655">
        <f t="shared" si="32"/>
        <v>248051.47499999995</v>
      </c>
      <c r="N97" s="561">
        <f>SUM(B97)</f>
        <v>248051.47499999995</v>
      </c>
    </row>
    <row r="98" spans="1:16" x14ac:dyDescent="0.2">
      <c r="A98" s="657" t="s">
        <v>348</v>
      </c>
      <c r="B98" s="657">
        <v>157893.75</v>
      </c>
      <c r="C98" s="657">
        <v>157893.75</v>
      </c>
      <c r="D98" s="657">
        <v>157893.75</v>
      </c>
      <c r="E98" s="657">
        <v>157893.75</v>
      </c>
      <c r="F98" s="657">
        <v>157893.75</v>
      </c>
      <c r="G98" s="657">
        <v>157893.75</v>
      </c>
      <c r="H98" s="657">
        <v>157893.75</v>
      </c>
      <c r="I98" s="657">
        <v>157893.75</v>
      </c>
      <c r="J98" s="657">
        <v>157893.75</v>
      </c>
      <c r="K98" s="657">
        <v>157893.75</v>
      </c>
      <c r="L98" s="657">
        <v>157893.75</v>
      </c>
      <c r="M98" s="657">
        <v>157894.875</v>
      </c>
    </row>
    <row r="99" spans="1:16" ht="13.5" thickBot="1" x14ac:dyDescent="0.25">
      <c r="A99" s="657" t="s">
        <v>349</v>
      </c>
      <c r="B99" s="657">
        <f>B97-B98</f>
        <v>90157.724999999948</v>
      </c>
      <c r="C99" s="657">
        <f t="shared" ref="C99:M99" si="33">C97-C98</f>
        <v>90157.724999999948</v>
      </c>
      <c r="D99" s="657">
        <f t="shared" si="33"/>
        <v>90157.724999999948</v>
      </c>
      <c r="E99" s="657">
        <f t="shared" si="33"/>
        <v>90157.724999999948</v>
      </c>
      <c r="F99" s="657">
        <f t="shared" si="33"/>
        <v>90157.724999999948</v>
      </c>
      <c r="G99" s="657">
        <f t="shared" si="33"/>
        <v>90157.724999999948</v>
      </c>
      <c r="H99" s="657">
        <f t="shared" si="33"/>
        <v>90157.724999999948</v>
      </c>
      <c r="I99" s="657">
        <f t="shared" si="33"/>
        <v>90157.724999999948</v>
      </c>
      <c r="J99" s="657">
        <f t="shared" si="33"/>
        <v>90157.724999999948</v>
      </c>
      <c r="K99" s="657">
        <f t="shared" si="33"/>
        <v>90157.724999999948</v>
      </c>
      <c r="L99" s="657">
        <f t="shared" si="33"/>
        <v>90157.724999999948</v>
      </c>
      <c r="M99" s="657">
        <f t="shared" si="33"/>
        <v>90156.599999999948</v>
      </c>
    </row>
    <row r="100" spans="1:16" ht="13.5" thickBot="1" x14ac:dyDescent="0.25">
      <c r="A100" s="658" t="s">
        <v>389</v>
      </c>
      <c r="B100" s="659">
        <f>B98+B99</f>
        <v>248051.47499999995</v>
      </c>
      <c r="C100" s="659">
        <f t="shared" ref="C100:M100" si="34">C98+C99</f>
        <v>248051.47499999995</v>
      </c>
      <c r="D100" s="659">
        <f t="shared" si="34"/>
        <v>248051.47499999995</v>
      </c>
      <c r="E100" s="659">
        <f t="shared" si="34"/>
        <v>248051.47499999995</v>
      </c>
      <c r="F100" s="659">
        <f t="shared" si="34"/>
        <v>248051.47499999995</v>
      </c>
      <c r="G100" s="659">
        <f t="shared" si="34"/>
        <v>248051.47499999995</v>
      </c>
      <c r="H100" s="659">
        <f t="shared" si="34"/>
        <v>248051.47499999995</v>
      </c>
      <c r="I100" s="659">
        <f t="shared" si="34"/>
        <v>248051.47499999995</v>
      </c>
      <c r="J100" s="659">
        <f t="shared" si="34"/>
        <v>248051.47499999995</v>
      </c>
      <c r="K100" s="659">
        <f t="shared" si="34"/>
        <v>248051.47499999995</v>
      </c>
      <c r="L100" s="659">
        <f t="shared" si="34"/>
        <v>248051.47499999995</v>
      </c>
      <c r="M100" s="659">
        <f t="shared" si="34"/>
        <v>248051.47499999995</v>
      </c>
    </row>
    <row r="101" spans="1:16" x14ac:dyDescent="0.2">
      <c r="A101" s="1238"/>
      <c r="B101" s="1238"/>
      <c r="C101" s="1238"/>
      <c r="D101" s="1238"/>
      <c r="E101" s="1238"/>
      <c r="F101" s="1238"/>
      <c r="G101" s="1238"/>
      <c r="H101" s="1238"/>
      <c r="I101" s="1238"/>
      <c r="J101" s="1238"/>
      <c r="K101" s="1238"/>
      <c r="L101" s="1238"/>
      <c r="M101" s="1238"/>
    </row>
    <row r="102" spans="1:16" x14ac:dyDescent="0.2">
      <c r="A102" s="789"/>
      <c r="B102" s="789"/>
      <c r="C102" s="789"/>
      <c r="D102" s="789"/>
      <c r="E102" s="789"/>
      <c r="F102" s="789"/>
      <c r="G102" s="789"/>
      <c r="H102" s="789"/>
      <c r="I102" s="789"/>
      <c r="J102" s="789"/>
      <c r="K102" s="789"/>
      <c r="L102" s="789"/>
      <c r="M102" s="789"/>
    </row>
    <row r="103" spans="1:16" x14ac:dyDescent="0.2">
      <c r="A103" s="1232" t="s">
        <v>346</v>
      </c>
      <c r="B103" s="1232"/>
      <c r="C103" s="1232"/>
      <c r="D103" s="1232"/>
      <c r="E103" s="1232"/>
      <c r="F103" s="1232"/>
      <c r="G103" s="1232"/>
      <c r="H103" s="1232"/>
      <c r="I103" s="1232"/>
      <c r="J103" s="1232"/>
      <c r="K103" s="1232"/>
      <c r="L103" s="1232"/>
      <c r="M103" s="1232"/>
    </row>
    <row r="104" spans="1:16" x14ac:dyDescent="0.2">
      <c r="A104" s="1239" t="s">
        <v>464</v>
      </c>
      <c r="B104" s="1239"/>
      <c r="C104" s="1239"/>
      <c r="D104" s="1239"/>
      <c r="E104" s="1239"/>
      <c r="F104" s="1239"/>
      <c r="G104" s="1239"/>
      <c r="H104" s="1239"/>
      <c r="I104" s="1239"/>
      <c r="J104" s="1239"/>
      <c r="K104" s="1239"/>
      <c r="L104" s="1239"/>
      <c r="M104" s="1239"/>
    </row>
    <row r="105" spans="1:16" x14ac:dyDescent="0.2">
      <c r="A105" s="916"/>
      <c r="B105" s="917"/>
      <c r="C105" s="917"/>
      <c r="D105" s="917"/>
      <c r="E105" s="917"/>
      <c r="F105" s="917"/>
      <c r="G105" s="917"/>
      <c r="H105" s="917"/>
      <c r="I105" s="917"/>
      <c r="J105" s="917"/>
      <c r="K105" s="917"/>
      <c r="L105" s="917"/>
      <c r="M105" s="917"/>
    </row>
    <row r="106" spans="1:16" ht="13.5" thickBot="1" x14ac:dyDescent="0.25">
      <c r="A106" s="918">
        <f>SUM(B106:M106)</f>
        <v>99.999999999999986</v>
      </c>
      <c r="B106" s="918">
        <v>11.4799775639842</v>
      </c>
      <c r="C106" s="918">
        <v>8.2205002016884894</v>
      </c>
      <c r="D106" s="918">
        <v>7.6271264178392419</v>
      </c>
      <c r="E106" s="918">
        <v>8.4486521507363079</v>
      </c>
      <c r="F106" s="918">
        <v>7.3950324295005618</v>
      </c>
      <c r="G106" s="918">
        <v>7.9243134782395881</v>
      </c>
      <c r="H106" s="918">
        <v>7.9660192259226603</v>
      </c>
      <c r="I106" s="918">
        <v>7.685023390092109</v>
      </c>
      <c r="J106" s="918">
        <v>7.9626149171669605</v>
      </c>
      <c r="K106" s="918">
        <v>7.5835623366890621</v>
      </c>
      <c r="L106" s="918">
        <v>8.5190988047436367</v>
      </c>
      <c r="M106" s="918">
        <v>9.1880790833971826</v>
      </c>
    </row>
    <row r="107" spans="1:16" ht="13.5" thickBot="1" x14ac:dyDescent="0.25">
      <c r="A107" s="919" t="s">
        <v>347</v>
      </c>
      <c r="B107" s="919" t="s">
        <v>1</v>
      </c>
      <c r="C107" s="919" t="s">
        <v>2</v>
      </c>
      <c r="D107" s="919" t="s">
        <v>3</v>
      </c>
      <c r="E107" s="919" t="s">
        <v>4</v>
      </c>
      <c r="F107" s="919" t="s">
        <v>5</v>
      </c>
      <c r="G107" s="919" t="s">
        <v>6</v>
      </c>
      <c r="H107" s="919" t="s">
        <v>7</v>
      </c>
      <c r="I107" s="919" t="s">
        <v>8</v>
      </c>
      <c r="J107" s="919" t="s">
        <v>9</v>
      </c>
      <c r="K107" s="919" t="s">
        <v>10</v>
      </c>
      <c r="L107" s="919" t="s">
        <v>11</v>
      </c>
      <c r="M107" s="919" t="s">
        <v>12</v>
      </c>
    </row>
    <row r="108" spans="1:16" ht="13.5" thickBot="1" x14ac:dyDescent="0.25">
      <c r="A108" s="920">
        <v>41615671</v>
      </c>
      <c r="B108" s="921">
        <f>B83+B95</f>
        <v>7652160</v>
      </c>
      <c r="C108" s="921">
        <f t="shared" ref="C108:M108" si="35">C83+C95</f>
        <v>8417792</v>
      </c>
      <c r="D108" s="921">
        <f t="shared" si="35"/>
        <v>6779802</v>
      </c>
      <c r="E108" s="921">
        <f t="shared" si="35"/>
        <v>6371618</v>
      </c>
      <c r="F108" s="921">
        <f t="shared" si="35"/>
        <v>6736356</v>
      </c>
      <c r="G108" s="921">
        <f t="shared" si="35"/>
        <v>5995669.0000000009</v>
      </c>
      <c r="H108" s="921">
        <f t="shared" si="35"/>
        <v>6403501.9999999991</v>
      </c>
      <c r="I108" s="921">
        <f t="shared" si="35"/>
        <v>6569228.0000000009</v>
      </c>
      <c r="J108" s="921">
        <f t="shared" si="35"/>
        <v>6474277</v>
      </c>
      <c r="K108" s="921">
        <f t="shared" si="35"/>
        <v>6606016.9999999991</v>
      </c>
      <c r="L108" s="921">
        <f t="shared" si="35"/>
        <v>6431181</v>
      </c>
      <c r="M108" s="921">
        <f t="shared" si="35"/>
        <v>6852329</v>
      </c>
      <c r="N108" s="648">
        <f>SUM(B108)</f>
        <v>7652160</v>
      </c>
      <c r="P108" s="561"/>
    </row>
    <row r="109" spans="1:16" ht="13.5" thickBot="1" x14ac:dyDescent="0.25">
      <c r="A109" s="922">
        <v>0.22500000000000001</v>
      </c>
      <c r="B109" s="922">
        <v>0.22500000000000001</v>
      </c>
      <c r="C109" s="922">
        <v>0.22500000000000001</v>
      </c>
      <c r="D109" s="922">
        <v>0.22500000000000001</v>
      </c>
      <c r="E109" s="922">
        <v>0.22500000000000001</v>
      </c>
      <c r="F109" s="922">
        <v>0.22500000000000001</v>
      </c>
      <c r="G109" s="922">
        <v>0.22500000000000001</v>
      </c>
      <c r="H109" s="922">
        <v>0.22500000000000001</v>
      </c>
      <c r="I109" s="922">
        <v>0.22500000000000001</v>
      </c>
      <c r="J109" s="922">
        <v>0.22500000000000001</v>
      </c>
      <c r="K109" s="922">
        <v>0.22500000000000001</v>
      </c>
      <c r="L109" s="922">
        <v>0.22500000000000001</v>
      </c>
      <c r="M109" s="922">
        <v>0.22500000000000001</v>
      </c>
      <c r="N109" s="648"/>
      <c r="P109" s="561"/>
    </row>
    <row r="110" spans="1:16" ht="13.5" thickBot="1" x14ac:dyDescent="0.25">
      <c r="A110" s="920">
        <f>A108*A109</f>
        <v>9363525.9749999996</v>
      </c>
      <c r="B110" s="920">
        <f>B85+B97</f>
        <v>1721736</v>
      </c>
      <c r="C110" s="920">
        <f t="shared" ref="C110:M110" si="36">C85+C97</f>
        <v>1894003.2</v>
      </c>
      <c r="D110" s="920">
        <f t="shared" si="36"/>
        <v>1525455.45</v>
      </c>
      <c r="E110" s="920">
        <f t="shared" si="36"/>
        <v>1433614.0499999998</v>
      </c>
      <c r="F110" s="920">
        <f t="shared" si="36"/>
        <v>1515680.0999999999</v>
      </c>
      <c r="G110" s="920">
        <f t="shared" si="36"/>
        <v>1349025.5250000001</v>
      </c>
      <c r="H110" s="920">
        <f t="shared" si="36"/>
        <v>1440787.9499999997</v>
      </c>
      <c r="I110" s="920">
        <f t="shared" si="36"/>
        <v>1478076.3</v>
      </c>
      <c r="J110" s="920">
        <f t="shared" si="36"/>
        <v>1456712.325</v>
      </c>
      <c r="K110" s="920">
        <f t="shared" si="36"/>
        <v>1486353.8249999997</v>
      </c>
      <c r="L110" s="920">
        <f t="shared" si="36"/>
        <v>1447015.7249999999</v>
      </c>
      <c r="M110" s="920">
        <f t="shared" si="36"/>
        <v>1541774.0249999999</v>
      </c>
      <c r="N110" s="648">
        <f>SUM(B110)</f>
        <v>1721736</v>
      </c>
    </row>
    <row r="111" spans="1:16" x14ac:dyDescent="0.2">
      <c r="A111" s="923" t="s">
        <v>348</v>
      </c>
      <c r="B111" s="923">
        <v>630182.47499999998</v>
      </c>
      <c r="C111" s="923">
        <v>453572.32500000001</v>
      </c>
      <c r="D111" s="923">
        <v>421343.77500000002</v>
      </c>
      <c r="E111" s="923">
        <v>466421.4</v>
      </c>
      <c r="F111" s="923">
        <v>407954.92499999999</v>
      </c>
      <c r="G111" s="923">
        <v>436274.32500000001</v>
      </c>
      <c r="H111" s="923">
        <v>435245.4</v>
      </c>
      <c r="I111" s="923">
        <v>416192.625</v>
      </c>
      <c r="J111" s="923">
        <v>432105.07500000001</v>
      </c>
      <c r="K111" s="923">
        <v>412083.67499999999</v>
      </c>
      <c r="L111" s="923">
        <v>462016.125</v>
      </c>
      <c r="M111" s="923">
        <v>503765.77500000002</v>
      </c>
    </row>
    <row r="112" spans="1:16" ht="13.5" thickBot="1" x14ac:dyDescent="0.25">
      <c r="A112" s="923" t="s">
        <v>349</v>
      </c>
      <c r="B112" s="923">
        <f>B110-B111</f>
        <v>1091553.5249999999</v>
      </c>
      <c r="C112" s="923">
        <f t="shared" ref="C112:M112" si="37">C110-C111</f>
        <v>1440430.875</v>
      </c>
      <c r="D112" s="923">
        <f t="shared" si="37"/>
        <v>1104111.6749999998</v>
      </c>
      <c r="E112" s="923">
        <f t="shared" si="37"/>
        <v>967192.64999999979</v>
      </c>
      <c r="F112" s="923">
        <f t="shared" si="37"/>
        <v>1107725.1749999998</v>
      </c>
      <c r="G112" s="923">
        <f t="shared" si="37"/>
        <v>912751.20000000019</v>
      </c>
      <c r="H112" s="923">
        <f t="shared" si="37"/>
        <v>1005542.5499999997</v>
      </c>
      <c r="I112" s="923">
        <f t="shared" si="37"/>
        <v>1061883.675</v>
      </c>
      <c r="J112" s="923">
        <f t="shared" si="37"/>
        <v>1024607.25</v>
      </c>
      <c r="K112" s="923">
        <f t="shared" si="37"/>
        <v>1074270.1499999997</v>
      </c>
      <c r="L112" s="923">
        <f t="shared" si="37"/>
        <v>984999.59999999986</v>
      </c>
      <c r="M112" s="923">
        <f t="shared" si="37"/>
        <v>1038008.2499999999</v>
      </c>
    </row>
    <row r="113" spans="1:15" ht="13.5" thickBot="1" x14ac:dyDescent="0.25">
      <c r="A113" s="924" t="s">
        <v>389</v>
      </c>
      <c r="B113" s="925">
        <f>B111+B112</f>
        <v>1721736</v>
      </c>
      <c r="C113" s="925">
        <f t="shared" ref="C113:M113" si="38">C111+C112</f>
        <v>1894003.2</v>
      </c>
      <c r="D113" s="925">
        <f t="shared" si="38"/>
        <v>1525455.4499999997</v>
      </c>
      <c r="E113" s="925">
        <f t="shared" si="38"/>
        <v>1433614.0499999998</v>
      </c>
      <c r="F113" s="925">
        <f t="shared" si="38"/>
        <v>1515680.0999999999</v>
      </c>
      <c r="G113" s="925">
        <f t="shared" si="38"/>
        <v>1349025.5250000001</v>
      </c>
      <c r="H113" s="925">
        <f t="shared" si="38"/>
        <v>1440787.9499999997</v>
      </c>
      <c r="I113" s="925">
        <f t="shared" si="38"/>
        <v>1478076.3</v>
      </c>
      <c r="J113" s="925">
        <f t="shared" si="38"/>
        <v>1456712.325</v>
      </c>
      <c r="K113" s="925">
        <f t="shared" si="38"/>
        <v>1486353.8249999997</v>
      </c>
      <c r="L113" s="925">
        <f t="shared" si="38"/>
        <v>1447015.7249999999</v>
      </c>
      <c r="M113" s="925">
        <f t="shared" si="38"/>
        <v>1541774.0249999999</v>
      </c>
    </row>
    <row r="114" spans="1:15" x14ac:dyDescent="0.2">
      <c r="A114" s="790"/>
      <c r="B114" s="789"/>
      <c r="C114" s="789"/>
      <c r="D114" s="789"/>
      <c r="E114" s="789"/>
      <c r="F114" s="789"/>
      <c r="G114" s="789"/>
      <c r="H114" s="789"/>
      <c r="I114" s="789"/>
      <c r="J114" s="789"/>
      <c r="K114" s="789"/>
      <c r="L114" s="789"/>
      <c r="M114" s="789"/>
    </row>
    <row r="115" spans="1:15" x14ac:dyDescent="0.2">
      <c r="A115" s="1240"/>
      <c r="B115" s="1240"/>
      <c r="C115" s="1240"/>
      <c r="D115" s="1240"/>
      <c r="E115" s="1240"/>
      <c r="F115" s="1240"/>
      <c r="G115" s="1240"/>
      <c r="H115" s="1240"/>
      <c r="I115" s="1240"/>
      <c r="J115" s="1240"/>
      <c r="K115" s="1240"/>
      <c r="L115" s="1240"/>
      <c r="M115" s="1240"/>
    </row>
    <row r="116" spans="1:15" x14ac:dyDescent="0.2">
      <c r="A116" s="1232" t="s">
        <v>346</v>
      </c>
      <c r="B116" s="1232"/>
      <c r="C116" s="1232"/>
      <c r="D116" s="1232"/>
      <c r="E116" s="1232"/>
      <c r="F116" s="1232"/>
      <c r="G116" s="1232"/>
      <c r="H116" s="1232"/>
      <c r="I116" s="1232"/>
      <c r="J116" s="1232"/>
      <c r="K116" s="1232"/>
      <c r="L116" s="1232"/>
      <c r="M116" s="1232"/>
    </row>
    <row r="117" spans="1:15" x14ac:dyDescent="0.2">
      <c r="A117" s="1237" t="s">
        <v>465</v>
      </c>
      <c r="B117" s="1237"/>
      <c r="C117" s="1237"/>
      <c r="D117" s="1237"/>
      <c r="E117" s="1237"/>
      <c r="F117" s="1237"/>
      <c r="G117" s="1237"/>
      <c r="H117" s="1237"/>
      <c r="I117" s="1237"/>
      <c r="J117" s="1237"/>
      <c r="K117" s="1237"/>
      <c r="L117" s="1237"/>
      <c r="M117" s="1237"/>
      <c r="N117" s="674"/>
    </row>
    <row r="118" spans="1:15" ht="13.5" thickBot="1" x14ac:dyDescent="0.25">
      <c r="A118" s="675">
        <f>SUM(B118:M118)</f>
        <v>100</v>
      </c>
      <c r="B118" s="676">
        <f>'X22.55 DOF'!B84</f>
        <v>10.000585808992419</v>
      </c>
      <c r="C118" s="676">
        <f>'X22.55 DOF'!C84</f>
        <v>11.652929812794751</v>
      </c>
      <c r="D118" s="676">
        <f>'X22.55 DOF'!D84</f>
        <v>9.8849040149857395</v>
      </c>
      <c r="E118" s="676">
        <f>'X22.55 DOF'!E84</f>
        <v>7.678389633099858</v>
      </c>
      <c r="F118" s="676">
        <f>'X22.55 DOF'!F84</f>
        <v>7.6807466143203325</v>
      </c>
      <c r="G118" s="676">
        <f>'X22.55 DOF'!G84</f>
        <v>6.0259741412466283</v>
      </c>
      <c r="H118" s="676">
        <f>'X22.55 DOF'!H84</f>
        <v>7.6122197408291319</v>
      </c>
      <c r="I118" s="676">
        <f>'X22.55 DOF'!I84</f>
        <v>7.5987919904545596</v>
      </c>
      <c r="J118" s="676">
        <f>'X22.55 DOF'!J84</f>
        <v>8.3637256071444313</v>
      </c>
      <c r="K118" s="676">
        <f>'X22.55 DOF'!K84</f>
        <v>6.6241584269703848</v>
      </c>
      <c r="L118" s="676">
        <f>'X22.55 DOF'!L84</f>
        <v>10.172531991967663</v>
      </c>
      <c r="M118" s="676">
        <f>'X22.55 DOF'!M84</f>
        <v>6.7050422171941015</v>
      </c>
      <c r="N118" s="674"/>
    </row>
    <row r="119" spans="1:15" ht="13.5" thickBot="1" x14ac:dyDescent="0.25">
      <c r="A119" s="644" t="s">
        <v>347</v>
      </c>
      <c r="B119" s="645" t="s">
        <v>1</v>
      </c>
      <c r="C119" s="645" t="s">
        <v>2</v>
      </c>
      <c r="D119" s="645" t="s">
        <v>3</v>
      </c>
      <c r="E119" s="645" t="s">
        <v>4</v>
      </c>
      <c r="F119" s="645" t="s">
        <v>5</v>
      </c>
      <c r="G119" s="645" t="s">
        <v>6</v>
      </c>
      <c r="H119" s="645" t="s">
        <v>7</v>
      </c>
      <c r="I119" s="645" t="s">
        <v>8</v>
      </c>
      <c r="J119" s="645" t="s">
        <v>9</v>
      </c>
      <c r="K119" s="645" t="s">
        <v>10</v>
      </c>
      <c r="L119" s="645" t="s">
        <v>11</v>
      </c>
      <c r="M119" s="645" t="s">
        <v>12</v>
      </c>
      <c r="N119" s="674"/>
    </row>
    <row r="120" spans="1:15" ht="13.5" thickBot="1" x14ac:dyDescent="0.25">
      <c r="A120" s="646">
        <v>941416071</v>
      </c>
      <c r="B120" s="672">
        <f>$A$120*B118/100</f>
        <v>94147122</v>
      </c>
      <c r="C120" s="672">
        <f t="shared" ref="C120:M120" si="39">$A$120*C118/100</f>
        <v>109702554</v>
      </c>
      <c r="D120" s="672">
        <f t="shared" si="39"/>
        <v>93058075</v>
      </c>
      <c r="E120" s="672">
        <f t="shared" si="39"/>
        <v>72285594</v>
      </c>
      <c r="F120" s="672">
        <f t="shared" si="39"/>
        <v>72307783</v>
      </c>
      <c r="G120" s="672">
        <f t="shared" si="39"/>
        <v>56729489</v>
      </c>
      <c r="H120" s="672">
        <f t="shared" si="39"/>
        <v>71662660</v>
      </c>
      <c r="I120" s="672">
        <f t="shared" si="39"/>
        <v>71536249.000000015</v>
      </c>
      <c r="J120" s="672">
        <f t="shared" si="39"/>
        <v>78737457</v>
      </c>
      <c r="K120" s="672">
        <f t="shared" si="39"/>
        <v>62360892</v>
      </c>
      <c r="L120" s="672">
        <f t="shared" si="39"/>
        <v>95765851</v>
      </c>
      <c r="M120" s="672">
        <f t="shared" si="39"/>
        <v>63122345</v>
      </c>
      <c r="N120" s="648">
        <f>SUM(B120)</f>
        <v>94147122</v>
      </c>
    </row>
    <row r="121" spans="1:15" ht="13.5" thickBot="1" x14ac:dyDescent="0.25">
      <c r="A121" s="652">
        <v>0.28000000000000003</v>
      </c>
      <c r="B121" s="652">
        <v>0.28000000000000003</v>
      </c>
      <c r="C121" s="652">
        <v>0.28000000000000003</v>
      </c>
      <c r="D121" s="652">
        <v>0.28000000000000003</v>
      </c>
      <c r="E121" s="652">
        <v>0.28000000000000003</v>
      </c>
      <c r="F121" s="652">
        <v>0.28000000000000003</v>
      </c>
      <c r="G121" s="652">
        <v>0.28000000000000003</v>
      </c>
      <c r="H121" s="652">
        <v>0.28000000000000003</v>
      </c>
      <c r="I121" s="652">
        <v>0.28000000000000003</v>
      </c>
      <c r="J121" s="652">
        <v>0.28000000000000003</v>
      </c>
      <c r="K121" s="652">
        <v>0.28000000000000003</v>
      </c>
      <c r="L121" s="652">
        <v>0.28000000000000003</v>
      </c>
      <c r="M121" s="652">
        <v>0.28000000000000003</v>
      </c>
      <c r="N121" s="648"/>
    </row>
    <row r="122" spans="1:15" ht="13.5" thickBot="1" x14ac:dyDescent="0.25">
      <c r="A122" s="646">
        <f t="shared" ref="A122:M122" si="40">A120*A121</f>
        <v>263596499.88000003</v>
      </c>
      <c r="B122" s="655">
        <f t="shared" si="40"/>
        <v>26361194.160000004</v>
      </c>
      <c r="C122" s="655">
        <f t="shared" si="40"/>
        <v>30716715.120000005</v>
      </c>
      <c r="D122" s="655">
        <f t="shared" si="40"/>
        <v>26056261.000000004</v>
      </c>
      <c r="E122" s="655">
        <f t="shared" si="40"/>
        <v>20239966.32</v>
      </c>
      <c r="F122" s="655">
        <f t="shared" si="40"/>
        <v>20246179.240000002</v>
      </c>
      <c r="G122" s="655">
        <f t="shared" si="40"/>
        <v>15884256.920000002</v>
      </c>
      <c r="H122" s="655">
        <f t="shared" si="40"/>
        <v>20065544.800000001</v>
      </c>
      <c r="I122" s="655">
        <f t="shared" si="40"/>
        <v>20030149.720000006</v>
      </c>
      <c r="J122" s="655">
        <f t="shared" si="40"/>
        <v>22046487.960000001</v>
      </c>
      <c r="K122" s="655">
        <f t="shared" si="40"/>
        <v>17461049.760000002</v>
      </c>
      <c r="L122" s="655">
        <f t="shared" si="40"/>
        <v>26814438.280000001</v>
      </c>
      <c r="M122" s="655">
        <f t="shared" si="40"/>
        <v>17674256.600000001</v>
      </c>
      <c r="N122" s="648">
        <f>SUM(B122)</f>
        <v>26361194.160000004</v>
      </c>
      <c r="O122" s="561"/>
    </row>
    <row r="123" spans="1:15" ht="13.5" thickBot="1" x14ac:dyDescent="0.25">
      <c r="A123" s="658" t="s">
        <v>389</v>
      </c>
    </row>
    <row r="124" spans="1:15" x14ac:dyDescent="0.2">
      <c r="A124" s="669"/>
    </row>
    <row r="127" spans="1:15" x14ac:dyDescent="0.2">
      <c r="A127" s="1232" t="s">
        <v>346</v>
      </c>
      <c r="B127" s="1232"/>
      <c r="C127" s="1232"/>
      <c r="D127" s="1232"/>
      <c r="E127" s="1232"/>
      <c r="F127" s="1232"/>
      <c r="G127" s="1232"/>
      <c r="H127" s="1232"/>
      <c r="I127" s="1232"/>
      <c r="J127" s="1232"/>
      <c r="K127" s="1232"/>
      <c r="L127" s="1232"/>
      <c r="M127" s="1232"/>
    </row>
    <row r="128" spans="1:15" x14ac:dyDescent="0.2">
      <c r="A128" s="1237" t="s">
        <v>466</v>
      </c>
      <c r="B128" s="1237"/>
      <c r="C128" s="1237"/>
      <c r="D128" s="1237"/>
      <c r="E128" s="1237"/>
      <c r="F128" s="1237"/>
      <c r="G128" s="1237"/>
      <c r="H128" s="1237"/>
      <c r="I128" s="1237"/>
      <c r="J128" s="1237"/>
      <c r="K128" s="1237"/>
      <c r="L128" s="1237"/>
      <c r="M128" s="1237"/>
    </row>
    <row r="129" spans="1:18" ht="13.5" thickBot="1" x14ac:dyDescent="0.25">
      <c r="A129" s="675">
        <f>SUM(B129:M129)</f>
        <v>100</v>
      </c>
      <c r="B129" s="676">
        <f>'X22.55 DOF'!B94</f>
        <v>10.708120880843591</v>
      </c>
      <c r="C129" s="676">
        <f>'X22.55 DOF'!C94</f>
        <v>8.8558668383705132</v>
      </c>
      <c r="D129" s="676">
        <f>'X22.55 DOF'!D94</f>
        <v>9.8881944538894295</v>
      </c>
      <c r="E129" s="676">
        <f>'X22.55 DOF'!E94</f>
        <v>5.3140669974280215</v>
      </c>
      <c r="F129" s="676">
        <f>'X22.55 DOF'!F94</f>
        <v>8.5565065759757317</v>
      </c>
      <c r="G129" s="676">
        <f>'X22.55 DOF'!G94</f>
        <v>7.2234872535664465</v>
      </c>
      <c r="H129" s="676">
        <f>'X22.55 DOF'!H94</f>
        <v>10.716238397284426</v>
      </c>
      <c r="I129" s="676">
        <f>'X22.55 DOF'!I94</f>
        <v>6.2086402157799077</v>
      </c>
      <c r="J129" s="676">
        <f>'X22.55 DOF'!J94</f>
        <v>10.089586171302503</v>
      </c>
      <c r="K129" s="676">
        <f>'X22.55 DOF'!K94</f>
        <v>5.9978568038603299</v>
      </c>
      <c r="L129" s="676">
        <f>'X22.55 DOF'!L94</f>
        <v>9.50655664831039</v>
      </c>
      <c r="M129" s="676">
        <f>'X22.55 DOF'!M94</f>
        <v>6.9348787633887117</v>
      </c>
    </row>
    <row r="130" spans="1:18" ht="13.5" thickBot="1" x14ac:dyDescent="0.25">
      <c r="A130" s="644" t="s">
        <v>347</v>
      </c>
      <c r="B130" s="645" t="s">
        <v>1</v>
      </c>
      <c r="C130" s="645" t="s">
        <v>2</v>
      </c>
      <c r="D130" s="645" t="s">
        <v>3</v>
      </c>
      <c r="E130" s="645" t="s">
        <v>4</v>
      </c>
      <c r="F130" s="645" t="s">
        <v>5</v>
      </c>
      <c r="G130" s="645" t="s">
        <v>6</v>
      </c>
      <c r="H130" s="645" t="s">
        <v>7</v>
      </c>
      <c r="I130" s="645" t="s">
        <v>8</v>
      </c>
      <c r="J130" s="645" t="s">
        <v>9</v>
      </c>
      <c r="K130" s="645" t="s">
        <v>10</v>
      </c>
      <c r="L130" s="645" t="s">
        <v>11</v>
      </c>
      <c r="M130" s="645" t="s">
        <v>12</v>
      </c>
    </row>
    <row r="131" spans="1:18" ht="13.5" thickBot="1" x14ac:dyDescent="0.25">
      <c r="A131" s="646">
        <v>6984895</v>
      </c>
      <c r="B131" s="672">
        <f>$A$131*B129/100</f>
        <v>747951</v>
      </c>
      <c r="C131" s="672">
        <f t="shared" ref="C131:M131" si="41">$A$131*C129/100</f>
        <v>618573.00000000012</v>
      </c>
      <c r="D131" s="672">
        <f t="shared" si="41"/>
        <v>690680</v>
      </c>
      <c r="E131" s="672">
        <f t="shared" si="41"/>
        <v>371182</v>
      </c>
      <c r="F131" s="672">
        <f t="shared" si="41"/>
        <v>597663.00000000012</v>
      </c>
      <c r="G131" s="672">
        <f t="shared" si="41"/>
        <v>504553.00000000006</v>
      </c>
      <c r="H131" s="672">
        <f t="shared" si="41"/>
        <v>748518</v>
      </c>
      <c r="I131" s="672">
        <f t="shared" si="41"/>
        <v>433667</v>
      </c>
      <c r="J131" s="672">
        <f t="shared" si="41"/>
        <v>704747</v>
      </c>
      <c r="K131" s="672">
        <f t="shared" si="41"/>
        <v>418944</v>
      </c>
      <c r="L131" s="672">
        <f t="shared" si="41"/>
        <v>664023</v>
      </c>
      <c r="M131" s="672">
        <f t="shared" si="41"/>
        <v>484393.99999999994</v>
      </c>
      <c r="N131" s="648">
        <f>SUM(B131)</f>
        <v>747951</v>
      </c>
    </row>
    <row r="132" spans="1:18" ht="13.5" thickBot="1" x14ac:dyDescent="0.25">
      <c r="A132" s="652">
        <v>0.22500000000000001</v>
      </c>
      <c r="B132" s="667">
        <v>0.22500000000000001</v>
      </c>
      <c r="C132" s="667">
        <v>0.22500000000000001</v>
      </c>
      <c r="D132" s="667">
        <v>0.22500000000000001</v>
      </c>
      <c r="E132" s="667">
        <v>0.22500000000000001</v>
      </c>
      <c r="F132" s="667">
        <v>0.22500000000000001</v>
      </c>
      <c r="G132" s="667">
        <v>0.22500000000000001</v>
      </c>
      <c r="H132" s="667">
        <v>0.22500000000000001</v>
      </c>
      <c r="I132" s="667">
        <v>0.22500000000000001</v>
      </c>
      <c r="J132" s="667">
        <v>0.22500000000000001</v>
      </c>
      <c r="K132" s="667">
        <v>0.22500000000000001</v>
      </c>
      <c r="L132" s="667">
        <v>0.22500000000000001</v>
      </c>
      <c r="M132" s="667">
        <v>0.22500000000000001</v>
      </c>
      <c r="N132" s="648"/>
    </row>
    <row r="133" spans="1:18" ht="13.5" thickBot="1" x14ac:dyDescent="0.25">
      <c r="A133" s="646">
        <f t="shared" ref="A133:M133" si="42">A131*A132</f>
        <v>1571601.375</v>
      </c>
      <c r="B133" s="655">
        <f t="shared" si="42"/>
        <v>168288.97500000001</v>
      </c>
      <c r="C133" s="655">
        <f t="shared" si="42"/>
        <v>139178.92500000002</v>
      </c>
      <c r="D133" s="655">
        <f t="shared" si="42"/>
        <v>155403</v>
      </c>
      <c r="E133" s="655">
        <f t="shared" si="42"/>
        <v>83515.95</v>
      </c>
      <c r="F133" s="655">
        <f t="shared" si="42"/>
        <v>134474.17500000002</v>
      </c>
      <c r="G133" s="655">
        <f t="shared" si="42"/>
        <v>113524.42500000002</v>
      </c>
      <c r="H133" s="655">
        <f t="shared" si="42"/>
        <v>168416.55000000002</v>
      </c>
      <c r="I133" s="655">
        <f t="shared" si="42"/>
        <v>97575.074999999997</v>
      </c>
      <c r="J133" s="655">
        <f t="shared" si="42"/>
        <v>158568.07500000001</v>
      </c>
      <c r="K133" s="655">
        <f t="shared" si="42"/>
        <v>94262.400000000009</v>
      </c>
      <c r="L133" s="655">
        <f t="shared" si="42"/>
        <v>149405.17500000002</v>
      </c>
      <c r="M133" s="655">
        <f t="shared" si="42"/>
        <v>108988.65</v>
      </c>
      <c r="N133" s="648">
        <f>SUM(B133)</f>
        <v>168288.97500000001</v>
      </c>
    </row>
    <row r="134" spans="1:18" ht="13.5" thickBot="1" x14ac:dyDescent="0.25">
      <c r="A134" s="658" t="s">
        <v>389</v>
      </c>
    </row>
    <row r="137" spans="1:18" x14ac:dyDescent="0.2">
      <c r="A137" s="1232" t="s">
        <v>346</v>
      </c>
      <c r="B137" s="1232"/>
      <c r="C137" s="1232"/>
      <c r="D137" s="1232"/>
      <c r="E137" s="1232"/>
      <c r="F137" s="1232"/>
      <c r="G137" s="1232"/>
      <c r="H137" s="1232"/>
      <c r="I137" s="1232"/>
      <c r="J137" s="1232"/>
      <c r="K137" s="1232"/>
      <c r="L137" s="1232"/>
      <c r="M137" s="1232"/>
    </row>
    <row r="138" spans="1:18" x14ac:dyDescent="0.2">
      <c r="A138" s="1237" t="s">
        <v>467</v>
      </c>
      <c r="B138" s="1237"/>
      <c r="C138" s="1237"/>
      <c r="D138" s="1237"/>
      <c r="E138" s="1237"/>
      <c r="F138" s="1237"/>
      <c r="G138" s="1237"/>
      <c r="H138" s="1237"/>
      <c r="I138" s="1237"/>
      <c r="J138" s="1237"/>
      <c r="K138" s="1237"/>
      <c r="L138" s="1237"/>
      <c r="M138" s="1237"/>
    </row>
    <row r="139" spans="1:18" ht="13.5" thickBot="1" x14ac:dyDescent="0.25">
      <c r="A139" s="675">
        <f>SUM(B139:M139)</f>
        <v>100.00000000000001</v>
      </c>
      <c r="B139" s="676">
        <f>'X22.55 DOF'!B104</f>
        <v>4.9747622140791297</v>
      </c>
      <c r="C139" s="676">
        <f>'X22.55 DOF'!C104</f>
        <v>8.4293979571678701</v>
      </c>
      <c r="D139" s="676">
        <f>'X22.55 DOF'!D104</f>
        <v>7.6571379347012885</v>
      </c>
      <c r="E139" s="676">
        <f>'X22.55 DOF'!E104</f>
        <v>9.113711510370214</v>
      </c>
      <c r="F139" s="676">
        <f>'X22.55 DOF'!F104</f>
        <v>9.6762216181994418</v>
      </c>
      <c r="G139" s="676">
        <f>'X22.55 DOF'!G104</f>
        <v>12.652351785041347</v>
      </c>
      <c r="H139" s="676">
        <f>'X22.55 DOF'!H104</f>
        <v>9.674901467397385</v>
      </c>
      <c r="I139" s="676">
        <f>'X22.55 DOF'!I104</f>
        <v>5.8462066338933285</v>
      </c>
      <c r="J139" s="676">
        <f>'X22.55 DOF'!J104</f>
        <v>6.6711198145716049</v>
      </c>
      <c r="K139" s="676">
        <f>'X22.55 DOF'!K104</f>
        <v>8.5453315554917513</v>
      </c>
      <c r="L139" s="676">
        <f>'X22.55 DOF'!L104</f>
        <v>7.4442123201932153</v>
      </c>
      <c r="M139" s="676">
        <f>'X22.55 DOF'!M104</f>
        <v>9.3146451888934259</v>
      </c>
    </row>
    <row r="140" spans="1:18" ht="13.5" thickBot="1" x14ac:dyDescent="0.25">
      <c r="A140" s="644" t="s">
        <v>347</v>
      </c>
      <c r="B140" s="645" t="s">
        <v>1</v>
      </c>
      <c r="C140" s="645" t="s">
        <v>2</v>
      </c>
      <c r="D140" s="645" t="s">
        <v>3</v>
      </c>
      <c r="E140" s="645" t="s">
        <v>4</v>
      </c>
      <c r="F140" s="645" t="s">
        <v>5</v>
      </c>
      <c r="G140" s="645" t="s">
        <v>6</v>
      </c>
      <c r="H140" s="645" t="s">
        <v>7</v>
      </c>
      <c r="I140" s="645" t="s">
        <v>8</v>
      </c>
      <c r="J140" s="645" t="s">
        <v>9</v>
      </c>
      <c r="K140" s="645" t="s">
        <v>10</v>
      </c>
      <c r="L140" s="645" t="s">
        <v>11</v>
      </c>
      <c r="M140" s="645" t="s">
        <v>12</v>
      </c>
    </row>
    <row r="141" spans="1:18" ht="13.5" thickBot="1" x14ac:dyDescent="0.25">
      <c r="A141" s="646">
        <v>588720621</v>
      </c>
      <c r="B141" s="672">
        <f>$A$141*B139/100</f>
        <v>29287451</v>
      </c>
      <c r="C141" s="672">
        <f t="shared" ref="C141:M141" si="43">$A$141*C139/100</f>
        <v>49625604</v>
      </c>
      <c r="D141" s="672">
        <f t="shared" si="43"/>
        <v>45079150</v>
      </c>
      <c r="E141" s="672">
        <f t="shared" si="43"/>
        <v>53654299</v>
      </c>
      <c r="F141" s="672">
        <f t="shared" si="43"/>
        <v>56965912</v>
      </c>
      <c r="G141" s="672">
        <f t="shared" si="43"/>
        <v>74487004</v>
      </c>
      <c r="H141" s="672">
        <f t="shared" si="43"/>
        <v>56958140</v>
      </c>
      <c r="I141" s="672">
        <f t="shared" si="43"/>
        <v>34417824</v>
      </c>
      <c r="J141" s="672">
        <f t="shared" si="43"/>
        <v>39274258</v>
      </c>
      <c r="K141" s="672">
        <f t="shared" si="43"/>
        <v>50308129</v>
      </c>
      <c r="L141" s="672">
        <f t="shared" si="43"/>
        <v>43825613.000000007</v>
      </c>
      <c r="M141" s="672">
        <f t="shared" si="43"/>
        <v>54837237</v>
      </c>
      <c r="N141" s="648">
        <f>SUM(B141)</f>
        <v>29287451</v>
      </c>
      <c r="P141" s="684"/>
    </row>
    <row r="142" spans="1:18" ht="13.5" thickBot="1" x14ac:dyDescent="0.25">
      <c r="A142" s="652">
        <v>0.22500000000000001</v>
      </c>
      <c r="B142" s="667">
        <v>0.22500000000000001</v>
      </c>
      <c r="C142" s="667">
        <v>0.22500000000000001</v>
      </c>
      <c r="D142" s="667">
        <v>0.22500000000000001</v>
      </c>
      <c r="E142" s="667">
        <v>0.22500000000000001</v>
      </c>
      <c r="F142" s="667">
        <v>0.22500000000000001</v>
      </c>
      <c r="G142" s="667">
        <v>0.22500000000000001</v>
      </c>
      <c r="H142" s="667">
        <v>0.22500000000000001</v>
      </c>
      <c r="I142" s="667">
        <v>0.22500000000000001</v>
      </c>
      <c r="J142" s="667">
        <v>0.22500000000000001</v>
      </c>
      <c r="K142" s="667">
        <v>0.22500000000000001</v>
      </c>
      <c r="L142" s="667">
        <v>0.22500000000000001</v>
      </c>
      <c r="M142" s="667">
        <v>0.22500000000000001</v>
      </c>
      <c r="N142" s="648"/>
    </row>
    <row r="143" spans="1:18" ht="13.5" thickBot="1" x14ac:dyDescent="0.25">
      <c r="A143" s="646">
        <f t="shared" ref="A143:M143" si="44">A141*A142</f>
        <v>132462139.72500001</v>
      </c>
      <c r="B143" s="655">
        <f t="shared" si="44"/>
        <v>6589676.4750000006</v>
      </c>
      <c r="C143" s="655">
        <f t="shared" si="44"/>
        <v>11165760.9</v>
      </c>
      <c r="D143" s="655">
        <f t="shared" si="44"/>
        <v>10142808.75</v>
      </c>
      <c r="E143" s="655">
        <f t="shared" si="44"/>
        <v>12072217.275</v>
      </c>
      <c r="F143" s="655">
        <f t="shared" si="44"/>
        <v>12817330.200000001</v>
      </c>
      <c r="G143" s="655">
        <f t="shared" si="44"/>
        <v>16759575.9</v>
      </c>
      <c r="H143" s="655">
        <f t="shared" si="44"/>
        <v>12815581.5</v>
      </c>
      <c r="I143" s="655">
        <f t="shared" si="44"/>
        <v>7744010.4000000004</v>
      </c>
      <c r="J143" s="655">
        <f t="shared" si="44"/>
        <v>8836708.0500000007</v>
      </c>
      <c r="K143" s="655">
        <f t="shared" si="44"/>
        <v>11319329.025</v>
      </c>
      <c r="L143" s="655">
        <f t="shared" si="44"/>
        <v>9860762.9250000026</v>
      </c>
      <c r="M143" s="655">
        <f t="shared" si="44"/>
        <v>12338378.325000001</v>
      </c>
      <c r="N143" s="648">
        <f>SUM(B143)</f>
        <v>6589676.4750000006</v>
      </c>
      <c r="P143" s="561"/>
      <c r="Q143" s="677"/>
      <c r="R143" s="561"/>
    </row>
    <row r="144" spans="1:18" ht="13.5" thickBot="1" x14ac:dyDescent="0.25">
      <c r="A144" s="658" t="s">
        <v>389</v>
      </c>
      <c r="P144" s="561"/>
    </row>
    <row r="145" spans="1:16" x14ac:dyDescent="0.2">
      <c r="P145" s="561"/>
    </row>
    <row r="147" spans="1:16" x14ac:dyDescent="0.2">
      <c r="A147" s="1241" t="s">
        <v>468</v>
      </c>
      <c r="B147" s="1241"/>
      <c r="C147" s="1241"/>
      <c r="D147" s="1241"/>
      <c r="E147" s="1241"/>
      <c r="F147" s="1241"/>
      <c r="G147" s="1241"/>
      <c r="H147" s="1241"/>
      <c r="I147" s="1241"/>
      <c r="J147" s="1241"/>
      <c r="K147" s="1241"/>
      <c r="L147" s="1241"/>
      <c r="M147" s="1241"/>
    </row>
    <row r="148" spans="1:16" ht="13.5" thickBot="1" x14ac:dyDescent="0.25">
      <c r="P148" s="585"/>
    </row>
    <row r="149" spans="1:16" ht="13.5" thickBot="1" x14ac:dyDescent="0.25">
      <c r="A149" s="644" t="s">
        <v>347</v>
      </c>
      <c r="B149" s="645" t="s">
        <v>1</v>
      </c>
      <c r="C149" s="645" t="s">
        <v>2</v>
      </c>
      <c r="D149" s="645" t="s">
        <v>3</v>
      </c>
      <c r="E149" s="645" t="s">
        <v>4</v>
      </c>
      <c r="F149" s="645" t="s">
        <v>5</v>
      </c>
      <c r="G149" s="645" t="s">
        <v>6</v>
      </c>
      <c r="H149" s="645" t="s">
        <v>7</v>
      </c>
      <c r="I149" s="645" t="s">
        <v>8</v>
      </c>
      <c r="J149" s="645" t="s">
        <v>9</v>
      </c>
      <c r="K149" s="645" t="s">
        <v>10</v>
      </c>
      <c r="L149" s="645" t="s">
        <v>11</v>
      </c>
      <c r="M149" s="645" t="s">
        <v>12</v>
      </c>
      <c r="P149" s="585"/>
    </row>
    <row r="150" spans="1:16" ht="13.5" thickBot="1" x14ac:dyDescent="0.25">
      <c r="A150" s="655">
        <f>B150+C150+D150+E150+F150+G150+H150+I150+J150+K150+L150+M150</f>
        <v>0</v>
      </c>
      <c r="B150" s="655">
        <v>0</v>
      </c>
      <c r="C150" s="655">
        <v>0</v>
      </c>
      <c r="D150" s="655">
        <v>0</v>
      </c>
      <c r="E150" s="655">
        <v>0</v>
      </c>
      <c r="F150" s="655">
        <v>0</v>
      </c>
      <c r="G150" s="655">
        <v>0</v>
      </c>
      <c r="H150" s="655">
        <v>0</v>
      </c>
      <c r="I150" s="655">
        <v>0</v>
      </c>
      <c r="J150" s="655">
        <v>0</v>
      </c>
      <c r="K150" s="655">
        <v>0</v>
      </c>
      <c r="L150" s="655">
        <v>0</v>
      </c>
      <c r="M150" s="678">
        <v>0</v>
      </c>
      <c r="N150" s="679">
        <v>0</v>
      </c>
      <c r="P150" s="656"/>
    </row>
    <row r="151" spans="1:16" ht="13.5" thickBot="1" x14ac:dyDescent="0.25">
      <c r="A151" s="652">
        <v>0.22500000000000001</v>
      </c>
      <c r="B151" s="667">
        <v>0.22500000000000001</v>
      </c>
      <c r="C151" s="667">
        <v>0.22500000000000001</v>
      </c>
      <c r="D151" s="667">
        <v>0.22500000000000001</v>
      </c>
      <c r="E151" s="667">
        <v>0.22500000000000001</v>
      </c>
      <c r="F151" s="667">
        <v>0.22500000000000001</v>
      </c>
      <c r="G151" s="667">
        <v>0.22500000000000001</v>
      </c>
      <c r="H151" s="667">
        <v>0.22500000000000001</v>
      </c>
      <c r="I151" s="667">
        <v>0.22500000000000001</v>
      </c>
      <c r="J151" s="667">
        <v>0.22500000000000001</v>
      </c>
      <c r="K151" s="667">
        <v>0.22500000000000001</v>
      </c>
      <c r="L151" s="667">
        <v>0.22500000000000001</v>
      </c>
      <c r="M151" s="667">
        <v>0.22500000000000001</v>
      </c>
      <c r="N151" s="679"/>
      <c r="P151" s="656"/>
    </row>
    <row r="152" spans="1:16" ht="13.5" thickBot="1" x14ac:dyDescent="0.25">
      <c r="A152" s="646">
        <f t="shared" ref="A152:M152" si="45">A150*A151</f>
        <v>0</v>
      </c>
      <c r="B152" s="655">
        <f t="shared" si="45"/>
        <v>0</v>
      </c>
      <c r="C152" s="655">
        <f t="shared" si="45"/>
        <v>0</v>
      </c>
      <c r="D152" s="655">
        <f t="shared" si="45"/>
        <v>0</v>
      </c>
      <c r="E152" s="655">
        <f t="shared" si="45"/>
        <v>0</v>
      </c>
      <c r="F152" s="655">
        <f t="shared" si="45"/>
        <v>0</v>
      </c>
      <c r="G152" s="655">
        <f t="shared" si="45"/>
        <v>0</v>
      </c>
      <c r="H152" s="655">
        <f t="shared" si="45"/>
        <v>0</v>
      </c>
      <c r="I152" s="655">
        <f t="shared" si="45"/>
        <v>0</v>
      </c>
      <c r="J152" s="655">
        <f t="shared" si="45"/>
        <v>0</v>
      </c>
      <c r="K152" s="655">
        <f t="shared" si="45"/>
        <v>0</v>
      </c>
      <c r="L152" s="655">
        <f t="shared" si="45"/>
        <v>0</v>
      </c>
      <c r="M152" s="678">
        <f t="shared" si="45"/>
        <v>0</v>
      </c>
      <c r="N152" s="679">
        <f>SUM(B152)</f>
        <v>0</v>
      </c>
      <c r="P152" s="656"/>
    </row>
    <row r="153" spans="1:16" x14ac:dyDescent="0.2">
      <c r="C153" s="659"/>
      <c r="D153" s="659"/>
      <c r="E153" s="659"/>
      <c r="F153" s="659"/>
      <c r="G153" s="659"/>
      <c r="P153" s="656"/>
    </row>
    <row r="154" spans="1:16" x14ac:dyDescent="0.2">
      <c r="D154" s="659"/>
      <c r="P154" s="656"/>
    </row>
    <row r="155" spans="1:16" x14ac:dyDescent="0.2">
      <c r="P155" s="656"/>
    </row>
    <row r="156" spans="1:16" x14ac:dyDescent="0.2">
      <c r="A156" s="1241" t="s">
        <v>469</v>
      </c>
      <c r="B156" s="1241"/>
      <c r="C156" s="1241"/>
      <c r="D156" s="1241"/>
      <c r="E156" s="1241"/>
      <c r="F156" s="1241"/>
      <c r="G156" s="1241"/>
      <c r="H156" s="1241"/>
      <c r="I156" s="1241"/>
      <c r="J156" s="1241"/>
      <c r="K156" s="1241"/>
      <c r="L156" s="1241"/>
      <c r="M156" s="1241"/>
      <c r="P156" s="656"/>
    </row>
    <row r="157" spans="1:16" ht="13.5" thickBot="1" x14ac:dyDescent="0.25">
      <c r="A157" s="1242" t="s">
        <v>350</v>
      </c>
      <c r="B157" s="1236"/>
      <c r="C157" s="1236"/>
      <c r="D157" s="1236"/>
      <c r="E157" s="1236"/>
      <c r="F157" s="1236"/>
      <c r="G157" s="1236"/>
      <c r="H157" s="1236"/>
      <c r="I157" s="1236"/>
      <c r="J157" s="1236"/>
      <c r="K157" s="1236"/>
      <c r="L157" s="1236"/>
      <c r="M157" s="1236"/>
      <c r="P157" s="656"/>
    </row>
    <row r="158" spans="1:16" ht="13.5" thickBot="1" x14ac:dyDescent="0.25">
      <c r="A158" s="644" t="s">
        <v>347</v>
      </c>
      <c r="B158" s="645" t="s">
        <v>1</v>
      </c>
      <c r="C158" s="645" t="s">
        <v>2</v>
      </c>
      <c r="D158" s="645" t="s">
        <v>3</v>
      </c>
      <c r="E158" s="645" t="s">
        <v>4</v>
      </c>
      <c r="F158" s="645" t="s">
        <v>5</v>
      </c>
      <c r="G158" s="645" t="s">
        <v>6</v>
      </c>
      <c r="H158" s="645" t="s">
        <v>7</v>
      </c>
      <c r="I158" s="645" t="s">
        <v>8</v>
      </c>
      <c r="J158" s="645" t="s">
        <v>9</v>
      </c>
      <c r="K158" s="645" t="s">
        <v>10</v>
      </c>
      <c r="L158" s="645" t="s">
        <v>11</v>
      </c>
      <c r="M158" s="645" t="s">
        <v>12</v>
      </c>
      <c r="P158" s="656"/>
    </row>
    <row r="159" spans="1:16" ht="13.5" thickBot="1" x14ac:dyDescent="0.25">
      <c r="A159" s="680">
        <f>SUM(B159:M159)</f>
        <v>6860914</v>
      </c>
      <c r="B159" s="655">
        <v>776497.54</v>
      </c>
      <c r="C159" s="655">
        <v>1125902.22</v>
      </c>
      <c r="D159" s="655">
        <v>1185966.1599999999</v>
      </c>
      <c r="E159" s="655">
        <v>781014.11</v>
      </c>
      <c r="F159" s="655">
        <v>452515.78</v>
      </c>
      <c r="G159" s="655">
        <v>557634.39</v>
      </c>
      <c r="H159" s="655">
        <v>500828.95</v>
      </c>
      <c r="I159" s="655">
        <v>233836.09</v>
      </c>
      <c r="J159" s="655">
        <v>323389.44</v>
      </c>
      <c r="K159" s="655">
        <v>277332.44</v>
      </c>
      <c r="L159" s="655">
        <v>385421.61</v>
      </c>
      <c r="M159" s="655">
        <v>260575.27</v>
      </c>
      <c r="N159" s="561"/>
      <c r="O159" s="561"/>
      <c r="P159" s="656"/>
    </row>
    <row r="160" spans="1:16" ht="13.5" thickBot="1" x14ac:dyDescent="0.25">
      <c r="A160" s="681">
        <f>SUM(B160:M160)</f>
        <v>125995.99999999999</v>
      </c>
      <c r="B160" s="655">
        <v>12001.76</v>
      </c>
      <c r="C160" s="655">
        <v>16714.759999999998</v>
      </c>
      <c r="D160" s="655">
        <v>14332.8</v>
      </c>
      <c r="E160" s="655">
        <v>21328.35</v>
      </c>
      <c r="F160" s="655">
        <v>10788.35</v>
      </c>
      <c r="G160" s="655">
        <v>13202.27</v>
      </c>
      <c r="H160" s="655">
        <v>7613.07</v>
      </c>
      <c r="I160" s="655">
        <v>7401.78</v>
      </c>
      <c r="J160" s="655">
        <v>4429.87</v>
      </c>
      <c r="K160" s="655">
        <v>12742.69</v>
      </c>
      <c r="L160" s="655">
        <v>4140.17</v>
      </c>
      <c r="M160" s="655">
        <v>1300.1299999999999</v>
      </c>
      <c r="N160" s="561"/>
      <c r="O160" s="561"/>
      <c r="P160" s="561"/>
    </row>
    <row r="161" spans="1:18" ht="13.5" thickBot="1" x14ac:dyDescent="0.25">
      <c r="A161" s="681">
        <f>SUM(B161:M161)</f>
        <v>5936379</v>
      </c>
      <c r="B161" s="655">
        <v>684713.4</v>
      </c>
      <c r="C161" s="655">
        <v>490806.72</v>
      </c>
      <c r="D161" s="655">
        <v>425278.57</v>
      </c>
      <c r="E161" s="655">
        <v>542112.72</v>
      </c>
      <c r="F161" s="655">
        <v>458508.02</v>
      </c>
      <c r="G161" s="655">
        <v>369137.58</v>
      </c>
      <c r="H161" s="655">
        <v>283887.59999999998</v>
      </c>
      <c r="I161" s="655">
        <v>468118.54</v>
      </c>
      <c r="J161" s="655">
        <v>366093.74</v>
      </c>
      <c r="K161" s="655">
        <v>840041.68</v>
      </c>
      <c r="L161" s="655">
        <v>434978.13</v>
      </c>
      <c r="M161" s="655">
        <v>572702.30000000005</v>
      </c>
      <c r="N161" s="561"/>
      <c r="O161" s="561"/>
    </row>
    <row r="162" spans="1:18" ht="13.5" thickBot="1" x14ac:dyDescent="0.25">
      <c r="A162" s="682" t="s">
        <v>351</v>
      </c>
      <c r="N162" s="561"/>
    </row>
    <row r="163" spans="1:18" ht="13.5" thickBot="1" x14ac:dyDescent="0.25">
      <c r="A163" s="683">
        <f>SUM(B163:M163)</f>
        <v>12923289.000000002</v>
      </c>
      <c r="B163" s="684">
        <f>SUM(B159:B161)</f>
        <v>1473212.7000000002</v>
      </c>
      <c r="C163" s="684">
        <f t="shared" ref="C163:M163" si="46">SUM(C159:C161)</f>
        <v>1633423.7</v>
      </c>
      <c r="D163" s="684">
        <f t="shared" si="46"/>
        <v>1625577.53</v>
      </c>
      <c r="E163" s="684">
        <f t="shared" si="46"/>
        <v>1344455.18</v>
      </c>
      <c r="F163" s="684">
        <f t="shared" si="46"/>
        <v>921812.15</v>
      </c>
      <c r="G163" s="684">
        <f t="shared" si="46"/>
        <v>939974.24</v>
      </c>
      <c r="H163" s="684">
        <f t="shared" si="46"/>
        <v>792329.62</v>
      </c>
      <c r="I163" s="684">
        <f t="shared" si="46"/>
        <v>709356.40999999992</v>
      </c>
      <c r="J163" s="684">
        <f t="shared" si="46"/>
        <v>693913.05</v>
      </c>
      <c r="K163" s="684">
        <f t="shared" si="46"/>
        <v>1130116.81</v>
      </c>
      <c r="L163" s="684">
        <f t="shared" si="46"/>
        <v>824539.90999999992</v>
      </c>
      <c r="M163" s="684">
        <f t="shared" si="46"/>
        <v>834577.70000000007</v>
      </c>
      <c r="N163" s="679">
        <f>SUM(B163)</f>
        <v>1473212.7000000002</v>
      </c>
    </row>
    <row r="164" spans="1:18" x14ac:dyDescent="0.2">
      <c r="N164" s="685"/>
    </row>
    <row r="165" spans="1:18" x14ac:dyDescent="0.2">
      <c r="A165" s="670"/>
      <c r="N165" s="657"/>
    </row>
    <row r="166" spans="1:18" x14ac:dyDescent="0.2">
      <c r="A166" s="1241" t="s">
        <v>470</v>
      </c>
      <c r="B166" s="1241"/>
      <c r="C166" s="1241"/>
      <c r="D166" s="1241"/>
      <c r="E166" s="1241"/>
      <c r="F166" s="1241"/>
      <c r="G166" s="1241"/>
      <c r="H166" s="1241"/>
      <c r="I166" s="1241"/>
      <c r="J166" s="1241"/>
      <c r="K166" s="1241"/>
      <c r="L166" s="1241"/>
      <c r="M166" s="1241"/>
      <c r="N166" s="657"/>
      <c r="O166" s="1243" t="s">
        <v>365</v>
      </c>
      <c r="P166" s="1243"/>
      <c r="Q166" s="1243"/>
      <c r="R166" s="1243"/>
    </row>
    <row r="167" spans="1:18" ht="13.5" thickBot="1" x14ac:dyDescent="0.25">
      <c r="N167" s="657"/>
      <c r="O167" s="1243"/>
      <c r="P167" s="1243"/>
      <c r="Q167" s="1243"/>
      <c r="R167" s="1243"/>
    </row>
    <row r="168" spans="1:18" ht="13.5" thickBot="1" x14ac:dyDescent="0.25">
      <c r="A168" s="644" t="s">
        <v>347</v>
      </c>
      <c r="B168" s="645" t="s">
        <v>1</v>
      </c>
      <c r="C168" s="645" t="s">
        <v>2</v>
      </c>
      <c r="D168" s="645" t="s">
        <v>3</v>
      </c>
      <c r="E168" s="645" t="s">
        <v>4</v>
      </c>
      <c r="F168" s="645" t="s">
        <v>5</v>
      </c>
      <c r="G168" s="645" t="s">
        <v>6</v>
      </c>
      <c r="H168" s="645" t="s">
        <v>7</v>
      </c>
      <c r="I168" s="645" t="s">
        <v>8</v>
      </c>
      <c r="J168" s="645" t="s">
        <v>9</v>
      </c>
      <c r="K168" s="645" t="s">
        <v>10</v>
      </c>
      <c r="L168" s="645" t="s">
        <v>11</v>
      </c>
      <c r="M168" s="645" t="s">
        <v>12</v>
      </c>
      <c r="N168" s="686"/>
      <c r="O168" s="1243"/>
      <c r="P168" s="1243"/>
      <c r="Q168" s="1243"/>
      <c r="R168" s="1243"/>
    </row>
    <row r="169" spans="1:18" ht="13.5" thickBot="1" x14ac:dyDescent="0.25">
      <c r="A169" s="655">
        <f>B169+C169+D169+E169+F169+G169+H169+I169+J169+K169+L169+M169</f>
        <v>1406966639</v>
      </c>
      <c r="B169" s="655">
        <v>140696664</v>
      </c>
      <c r="C169" s="655">
        <v>140696664</v>
      </c>
      <c r="D169" s="655">
        <v>140696664</v>
      </c>
      <c r="E169" s="655">
        <v>140696664</v>
      </c>
      <c r="F169" s="655">
        <v>140696664</v>
      </c>
      <c r="G169" s="655">
        <v>140696664</v>
      </c>
      <c r="H169" s="655">
        <v>140696664</v>
      </c>
      <c r="I169" s="655">
        <v>140696664</v>
      </c>
      <c r="J169" s="655">
        <v>140696664</v>
      </c>
      <c r="K169" s="655">
        <v>140696663</v>
      </c>
      <c r="L169" s="655">
        <v>0</v>
      </c>
      <c r="M169" s="655">
        <v>0</v>
      </c>
      <c r="N169" s="679">
        <f>SUM(B169)</f>
        <v>140696664</v>
      </c>
      <c r="O169" s="1243"/>
      <c r="P169" s="1243"/>
      <c r="Q169" s="1243"/>
      <c r="R169" s="1243"/>
    </row>
    <row r="170" spans="1:18" x14ac:dyDescent="0.2">
      <c r="N170" s="685"/>
      <c r="O170" s="1243"/>
      <c r="P170" s="1243"/>
      <c r="Q170" s="1243"/>
      <c r="R170" s="1243"/>
    </row>
    <row r="171" spans="1:18" x14ac:dyDescent="0.2">
      <c r="A171" s="670"/>
      <c r="N171" s="657"/>
      <c r="O171" s="1243"/>
      <c r="P171" s="1243"/>
      <c r="Q171" s="1243"/>
      <c r="R171" s="1243"/>
    </row>
    <row r="172" spans="1:18" x14ac:dyDescent="0.2">
      <c r="A172" s="1241" t="s">
        <v>471</v>
      </c>
      <c r="B172" s="1241"/>
      <c r="C172" s="1241"/>
      <c r="D172" s="1241"/>
      <c r="E172" s="1241"/>
      <c r="F172" s="1241"/>
      <c r="G172" s="1241"/>
      <c r="H172" s="1241"/>
      <c r="I172" s="1241"/>
      <c r="J172" s="1241"/>
      <c r="K172" s="1241"/>
      <c r="L172" s="1241"/>
      <c r="M172" s="1241"/>
      <c r="N172" s="657"/>
      <c r="O172" s="1243"/>
      <c r="P172" s="1243"/>
      <c r="Q172" s="1243"/>
      <c r="R172" s="1243"/>
    </row>
    <row r="173" spans="1:18" ht="13.5" thickBot="1" x14ac:dyDescent="0.25">
      <c r="N173" s="657"/>
      <c r="O173" s="1243"/>
      <c r="P173" s="1243"/>
      <c r="Q173" s="1243"/>
      <c r="R173" s="1243"/>
    </row>
    <row r="174" spans="1:18" ht="13.5" thickBot="1" x14ac:dyDescent="0.25">
      <c r="A174" s="644" t="s">
        <v>347</v>
      </c>
      <c r="B174" s="645" t="s">
        <v>1</v>
      </c>
      <c r="C174" s="645" t="s">
        <v>2</v>
      </c>
      <c r="D174" s="645" t="s">
        <v>3</v>
      </c>
      <c r="E174" s="645" t="s">
        <v>4</v>
      </c>
      <c r="F174" s="645" t="s">
        <v>5</v>
      </c>
      <c r="G174" s="645" t="s">
        <v>6</v>
      </c>
      <c r="H174" s="645" t="s">
        <v>7</v>
      </c>
      <c r="I174" s="645" t="s">
        <v>8</v>
      </c>
      <c r="J174" s="645" t="s">
        <v>9</v>
      </c>
      <c r="K174" s="645" t="s">
        <v>10</v>
      </c>
      <c r="L174" s="645" t="s">
        <v>11</v>
      </c>
      <c r="M174" s="645" t="s">
        <v>12</v>
      </c>
      <c r="N174" s="686"/>
      <c r="O174" s="1243"/>
      <c r="P174" s="1243"/>
      <c r="Q174" s="1243"/>
      <c r="R174" s="1243"/>
    </row>
    <row r="175" spans="1:18" ht="13.5" thickBot="1" x14ac:dyDescent="0.25">
      <c r="A175" s="655">
        <f>B175+C175+D175+E175+F175+G175+H175+I175+J175+K175+L175+M175</f>
        <v>1092434877</v>
      </c>
      <c r="B175" s="655">
        <v>91036240</v>
      </c>
      <c r="C175" s="655">
        <v>91036240</v>
      </c>
      <c r="D175" s="655">
        <v>91036240</v>
      </c>
      <c r="E175" s="655">
        <v>91036240</v>
      </c>
      <c r="F175" s="655">
        <v>91036240</v>
      </c>
      <c r="G175" s="655">
        <v>91036240</v>
      </c>
      <c r="H175" s="655">
        <v>91036240</v>
      </c>
      <c r="I175" s="655">
        <v>91036240</v>
      </c>
      <c r="J175" s="655">
        <v>91036240</v>
      </c>
      <c r="K175" s="655">
        <v>91036240</v>
      </c>
      <c r="L175" s="655">
        <v>91036240</v>
      </c>
      <c r="M175" s="655">
        <v>91036237</v>
      </c>
      <c r="N175" s="679">
        <f>SUM(B175)</f>
        <v>91036240</v>
      </c>
    </row>
    <row r="176" spans="1:18" ht="13.5" thickBot="1" x14ac:dyDescent="0.25"/>
    <row r="177" spans="1:14" ht="13.5" thickBot="1" x14ac:dyDescent="0.25">
      <c r="C177" s="687"/>
      <c r="L177" s="688" t="s">
        <v>352</v>
      </c>
      <c r="M177" s="689"/>
      <c r="N177" s="690">
        <f>N10+N22+N36+N47+N59+N71+N108+N120+N131+N141</f>
        <v>918654748.00000012</v>
      </c>
    </row>
    <row r="178" spans="1:14" ht="13.5" thickBot="1" x14ac:dyDescent="0.25">
      <c r="B178" s="659"/>
      <c r="C178" s="659"/>
      <c r="E178" s="659"/>
      <c r="L178" s="682"/>
      <c r="M178" s="682"/>
      <c r="N178" s="691"/>
    </row>
    <row r="179" spans="1:14" ht="13.5" thickBot="1" x14ac:dyDescent="0.25">
      <c r="C179" s="659"/>
      <c r="E179" s="659"/>
      <c r="L179" s="688" t="s">
        <v>353</v>
      </c>
      <c r="M179" s="689"/>
      <c r="N179" s="690">
        <f>N13+N22+N38+N61+N73+N49+N122+N85+N97+N163+N169+N175+N152</f>
        <v>473793240.46000004</v>
      </c>
    </row>
    <row r="181" spans="1:14" x14ac:dyDescent="0.2">
      <c r="A181" s="561">
        <f>SUM(B181:M181)</f>
        <v>11738798785</v>
      </c>
      <c r="B181" s="659">
        <f t="shared" ref="B181:M181" si="47">B10+B22+B36+B59+B47+B120+B83+B95+B131+B141</f>
        <v>918654748.00000012</v>
      </c>
      <c r="C181" s="659">
        <f t="shared" si="47"/>
        <v>1238632601</v>
      </c>
      <c r="D181" s="659">
        <f t="shared" si="47"/>
        <v>846535167</v>
      </c>
      <c r="E181" s="659">
        <f t="shared" si="47"/>
        <v>1036159773</v>
      </c>
      <c r="F181" s="659">
        <f t="shared" si="47"/>
        <v>1162366305</v>
      </c>
      <c r="G181" s="659">
        <f t="shared" si="47"/>
        <v>1143875820</v>
      </c>
      <c r="H181" s="659">
        <f t="shared" si="47"/>
        <v>1003509620</v>
      </c>
      <c r="I181" s="659">
        <f t="shared" si="47"/>
        <v>953090048</v>
      </c>
      <c r="J181" s="659">
        <f t="shared" si="47"/>
        <v>919315180</v>
      </c>
      <c r="K181" s="659">
        <f t="shared" si="47"/>
        <v>704304557</v>
      </c>
      <c r="L181" s="659">
        <f t="shared" si="47"/>
        <v>914238274.99999988</v>
      </c>
      <c r="M181" s="659">
        <f t="shared" si="47"/>
        <v>898116691</v>
      </c>
    </row>
    <row r="183" spans="1:14" x14ac:dyDescent="0.2">
      <c r="A183" s="561">
        <f>SUM(B183:M183)</f>
        <v>3162039698.3800001</v>
      </c>
      <c r="B183" s="659">
        <f t="shared" ref="B183:M183" si="48">B13+B22+B38+B61+B49+B122+B85+B97+B133+B143</f>
        <v>247345089.21000004</v>
      </c>
      <c r="C183" s="659">
        <f t="shared" si="48"/>
        <v>335577523.97000009</v>
      </c>
      <c r="D183" s="659">
        <f t="shared" si="48"/>
        <v>228432377.42499998</v>
      </c>
      <c r="E183" s="659">
        <f t="shared" si="48"/>
        <v>277473988.29499996</v>
      </c>
      <c r="F183" s="659">
        <f t="shared" si="48"/>
        <v>314817123.6400001</v>
      </c>
      <c r="G183" s="659">
        <f t="shared" si="48"/>
        <v>308829735.07000005</v>
      </c>
      <c r="H183" s="659">
        <f t="shared" si="48"/>
        <v>267182454.15000001</v>
      </c>
      <c r="I183" s="659">
        <f t="shared" si="48"/>
        <v>258147968.095</v>
      </c>
      <c r="J183" s="659">
        <f t="shared" si="48"/>
        <v>248544027.535</v>
      </c>
      <c r="K183" s="659">
        <f t="shared" si="48"/>
        <v>186643863.98500001</v>
      </c>
      <c r="L183" s="659">
        <f t="shared" si="48"/>
        <v>247121396.85500002</v>
      </c>
      <c r="M183" s="659">
        <f t="shared" si="48"/>
        <v>241924150.14999998</v>
      </c>
    </row>
    <row r="186" spans="1:14" ht="13.5" thickBot="1" x14ac:dyDescent="0.25">
      <c r="A186" s="1232" t="s">
        <v>346</v>
      </c>
      <c r="B186" s="1232"/>
      <c r="C186" s="1232"/>
      <c r="D186" s="1232"/>
      <c r="E186" s="1232"/>
      <c r="F186" s="1232"/>
      <c r="G186" s="1232"/>
      <c r="H186" s="1232"/>
      <c r="I186" s="1232"/>
      <c r="J186" s="1232"/>
      <c r="K186" s="1232"/>
      <c r="L186" s="1232"/>
      <c r="M186" s="1232"/>
    </row>
    <row r="187" spans="1:14" ht="13.5" thickBot="1" x14ac:dyDescent="0.25">
      <c r="A187" s="1233" t="s">
        <v>472</v>
      </c>
      <c r="B187" s="1234"/>
      <c r="C187" s="1234"/>
      <c r="D187" s="1234"/>
      <c r="E187" s="1234"/>
      <c r="F187" s="1234"/>
      <c r="G187" s="1234"/>
      <c r="H187" s="1234"/>
      <c r="I187" s="1234"/>
      <c r="J187" s="1234"/>
      <c r="K187" s="1234"/>
      <c r="L187" s="1234"/>
      <c r="M187" s="1235"/>
      <c r="N187" s="674"/>
    </row>
    <row r="188" spans="1:14" ht="13.5" thickBot="1" x14ac:dyDescent="0.25">
      <c r="A188" s="675">
        <f>SUM(B188:M188)</f>
        <v>0</v>
      </c>
      <c r="B188" s="676">
        <f>'[5]X22.55 DOF'!B167</f>
        <v>0</v>
      </c>
      <c r="C188" s="676">
        <f>'[5]X22.55 DOF'!C167</f>
        <v>0</v>
      </c>
      <c r="D188" s="676">
        <f>'[5]X22.55 DOF'!D167</f>
        <v>0</v>
      </c>
      <c r="E188" s="676">
        <f>'[5]X22.55 DOF'!E167</f>
        <v>0</v>
      </c>
      <c r="F188" s="676">
        <f>'[5]X22.55 DOF'!F167</f>
        <v>0</v>
      </c>
      <c r="G188" s="676">
        <f>'[5]X22.55 DOF'!G167</f>
        <v>0</v>
      </c>
      <c r="H188" s="676">
        <f>'[5]X22.55 DOF'!H167</f>
        <v>0</v>
      </c>
      <c r="I188" s="676">
        <f>'[5]X22.55 DOF'!I167</f>
        <v>0</v>
      </c>
      <c r="J188" s="676">
        <f>'[5]X22.55 DOF'!J167</f>
        <v>0</v>
      </c>
      <c r="K188" s="676">
        <f>'[5]X22.55 DOF'!K167</f>
        <v>0</v>
      </c>
      <c r="L188" s="676">
        <f>'[5]X22.55 DOF'!L167</f>
        <v>0</v>
      </c>
      <c r="M188" s="676">
        <f>'[5]X22.55 DOF'!M167</f>
        <v>0</v>
      </c>
      <c r="N188" s="674"/>
    </row>
    <row r="189" spans="1:14" ht="13.5" thickBot="1" x14ac:dyDescent="0.25">
      <c r="A189" s="644" t="s">
        <v>172</v>
      </c>
      <c r="B189" s="645" t="s">
        <v>1</v>
      </c>
      <c r="C189" s="645" t="s">
        <v>2</v>
      </c>
      <c r="D189" s="645" t="s">
        <v>3</v>
      </c>
      <c r="E189" s="645" t="s">
        <v>4</v>
      </c>
      <c r="F189" s="645" t="s">
        <v>5</v>
      </c>
      <c r="G189" s="645" t="s">
        <v>6</v>
      </c>
      <c r="H189" s="645" t="s">
        <v>7</v>
      </c>
      <c r="I189" s="645" t="s">
        <v>8</v>
      </c>
      <c r="J189" s="645" t="s">
        <v>9</v>
      </c>
      <c r="K189" s="645" t="s">
        <v>10</v>
      </c>
      <c r="L189" s="645" t="s">
        <v>11</v>
      </c>
      <c r="M189" s="645" t="s">
        <v>12</v>
      </c>
      <c r="N189" s="674"/>
    </row>
    <row r="190" spans="1:14" ht="13.5" thickBot="1" x14ac:dyDescent="0.25">
      <c r="A190" s="810" t="s">
        <v>378</v>
      </c>
      <c r="B190" s="672">
        <v>30660225</v>
      </c>
      <c r="C190" s="672">
        <v>6040453</v>
      </c>
      <c r="D190" s="672">
        <v>4322780</v>
      </c>
      <c r="E190" s="672">
        <v>13458070</v>
      </c>
      <c r="F190" s="672">
        <v>38693636</v>
      </c>
      <c r="G190" s="672">
        <v>19417999</v>
      </c>
      <c r="H190" s="672">
        <v>19217967</v>
      </c>
      <c r="I190" s="672">
        <v>13309077</v>
      </c>
      <c r="J190" s="672">
        <v>11546749</v>
      </c>
      <c r="K190" s="672">
        <v>10219109</v>
      </c>
      <c r="L190" s="672">
        <v>12878645</v>
      </c>
      <c r="M190" s="672">
        <v>13086281</v>
      </c>
      <c r="N190" s="648">
        <f>SUM(B190:M190)</f>
        <v>192850991</v>
      </c>
    </row>
    <row r="191" spans="1:14" ht="13.5" thickBot="1" x14ac:dyDescent="0.25">
      <c r="A191" s="578" t="s">
        <v>377</v>
      </c>
      <c r="B191" s="652">
        <v>0.2</v>
      </c>
      <c r="C191" s="652">
        <v>0.2</v>
      </c>
      <c r="D191" s="652">
        <v>0.2</v>
      </c>
      <c r="E191" s="652">
        <v>0.2</v>
      </c>
      <c r="F191" s="652">
        <v>0.2</v>
      </c>
      <c r="G191" s="652">
        <v>0.2</v>
      </c>
      <c r="H191" s="652">
        <v>0.2</v>
      </c>
      <c r="I191" s="652">
        <v>0.2</v>
      </c>
      <c r="J191" s="652">
        <v>0.2</v>
      </c>
      <c r="K191" s="652">
        <v>0.2</v>
      </c>
      <c r="L191" s="652">
        <v>0.2</v>
      </c>
      <c r="M191" s="652">
        <v>0.2</v>
      </c>
      <c r="N191" s="648"/>
    </row>
    <row r="192" spans="1:14" ht="13.5" thickBot="1" x14ac:dyDescent="0.25">
      <c r="A192" s="810" t="s">
        <v>379</v>
      </c>
      <c r="B192" s="655">
        <f t="shared" ref="B192:M192" si="49">B190*B191</f>
        <v>6132045</v>
      </c>
      <c r="C192" s="655">
        <f t="shared" si="49"/>
        <v>1208090.6000000001</v>
      </c>
      <c r="D192" s="655">
        <f t="shared" si="49"/>
        <v>864556</v>
      </c>
      <c r="E192" s="655">
        <f t="shared" si="49"/>
        <v>2691614</v>
      </c>
      <c r="F192" s="655">
        <f t="shared" si="49"/>
        <v>7738727.2000000002</v>
      </c>
      <c r="G192" s="655">
        <f t="shared" si="49"/>
        <v>3883599.8000000003</v>
      </c>
      <c r="H192" s="655">
        <f t="shared" si="49"/>
        <v>3843593.4000000004</v>
      </c>
      <c r="I192" s="655">
        <f t="shared" si="49"/>
        <v>2661815.4000000004</v>
      </c>
      <c r="J192" s="655">
        <f t="shared" si="49"/>
        <v>2309349.8000000003</v>
      </c>
      <c r="K192" s="655">
        <f t="shared" si="49"/>
        <v>2043821.8</v>
      </c>
      <c r="L192" s="655">
        <f t="shared" si="49"/>
        <v>2575729</v>
      </c>
      <c r="M192" s="655">
        <f t="shared" si="49"/>
        <v>2617256.2000000002</v>
      </c>
      <c r="N192" s="648">
        <f>SUM(B192:M192)</f>
        <v>38570198.200000003</v>
      </c>
    </row>
    <row r="193" spans="1:14" ht="13.5" thickBot="1" x14ac:dyDescent="0.25">
      <c r="A193" s="824" t="s">
        <v>369</v>
      </c>
      <c r="B193" s="811">
        <f>B192/$N$192*100</f>
        <v>15.898401579901655</v>
      </c>
      <c r="C193" s="811">
        <f t="shared" ref="C193:M193" si="50">C192/$N$192*100</f>
        <v>3.1321866528546902</v>
      </c>
      <c r="D193" s="811">
        <f t="shared" si="50"/>
        <v>2.2415129824248607</v>
      </c>
      <c r="E193" s="811">
        <f t="shared" si="50"/>
        <v>6.9784811217278104</v>
      </c>
      <c r="F193" s="811">
        <f t="shared" si="50"/>
        <v>20.064006826908138</v>
      </c>
      <c r="G193" s="811">
        <f t="shared" si="50"/>
        <v>10.068913257490079</v>
      </c>
      <c r="H193" s="811">
        <f t="shared" si="50"/>
        <v>9.965189652564451</v>
      </c>
      <c r="I193" s="811">
        <f t="shared" si="50"/>
        <v>6.9012230276794391</v>
      </c>
      <c r="J193" s="811">
        <f t="shared" si="50"/>
        <v>5.9873941741891281</v>
      </c>
      <c r="K193" s="811">
        <f t="shared" si="50"/>
        <v>5.2989662884335393</v>
      </c>
      <c r="L193" s="811">
        <f t="shared" si="50"/>
        <v>6.6780289451558987</v>
      </c>
      <c r="M193" s="811">
        <f t="shared" si="50"/>
        <v>6.7856954906703066</v>
      </c>
    </row>
    <row r="194" spans="1:14" ht="14.25" thickTop="1" thickBot="1" x14ac:dyDescent="0.25">
      <c r="A194" s="825" t="s">
        <v>381</v>
      </c>
      <c r="B194" s="826">
        <f>$N$194*B193/100</f>
        <v>5564440.5529655786</v>
      </c>
      <c r="C194" s="826">
        <f t="shared" ref="C194:M194" si="51">$N$194*C193/100</f>
        <v>1096265.3284991416</v>
      </c>
      <c r="D194" s="826">
        <f t="shared" si="51"/>
        <v>784529.54384870129</v>
      </c>
      <c r="E194" s="826">
        <f t="shared" si="51"/>
        <v>2442468.3926047338</v>
      </c>
      <c r="F194" s="826">
        <f t="shared" si="51"/>
        <v>7022402.3894178485</v>
      </c>
      <c r="G194" s="826">
        <f t="shared" si="51"/>
        <v>3524119.6401215279</v>
      </c>
      <c r="H194" s="826">
        <f t="shared" si="51"/>
        <v>3487816.3783975579</v>
      </c>
      <c r="I194" s="826">
        <f t="shared" si="51"/>
        <v>2415428.0596878035</v>
      </c>
      <c r="J194" s="826">
        <f t="shared" si="51"/>
        <v>2095587.960966195</v>
      </c>
      <c r="K194" s="826">
        <f t="shared" si="51"/>
        <v>1854638.2009517387</v>
      </c>
      <c r="L194" s="826">
        <f t="shared" si="51"/>
        <v>2337310.1308045648</v>
      </c>
      <c r="M194" s="826">
        <f t="shared" si="51"/>
        <v>2374993.4217346073</v>
      </c>
      <c r="N194" s="827">
        <v>35000000</v>
      </c>
    </row>
    <row r="195" spans="1:14" ht="13.5" thickTop="1" x14ac:dyDescent="0.2"/>
  </sheetData>
  <mergeCells count="38">
    <mergeCell ref="A147:M147"/>
    <mergeCell ref="A156:M156"/>
    <mergeCell ref="A157:M157"/>
    <mergeCell ref="A166:M166"/>
    <mergeCell ref="O166:R174"/>
    <mergeCell ref="A172:M172"/>
    <mergeCell ref="A55:M55"/>
    <mergeCell ref="A66:M66"/>
    <mergeCell ref="A67:M67"/>
    <mergeCell ref="A78:M78"/>
    <mergeCell ref="A138:M138"/>
    <mergeCell ref="A90:M90"/>
    <mergeCell ref="A91:M91"/>
    <mergeCell ref="A101:M101"/>
    <mergeCell ref="A103:M103"/>
    <mergeCell ref="A104:M104"/>
    <mergeCell ref="A115:M115"/>
    <mergeCell ref="A116:M116"/>
    <mergeCell ref="A117:M117"/>
    <mergeCell ref="A127:M127"/>
    <mergeCell ref="A128:M128"/>
    <mergeCell ref="A137:M137"/>
    <mergeCell ref="A186:M186"/>
    <mergeCell ref="A187:M187"/>
    <mergeCell ref="A8:M8"/>
    <mergeCell ref="A1:M1"/>
    <mergeCell ref="A2:M2"/>
    <mergeCell ref="A3:M3"/>
    <mergeCell ref="A4:M4"/>
    <mergeCell ref="A5:M5"/>
    <mergeCell ref="A79:M79"/>
    <mergeCell ref="A17:M17"/>
    <mergeCell ref="A18:M18"/>
    <mergeCell ref="A31:M31"/>
    <mergeCell ref="A32:M32"/>
    <mergeCell ref="A42:M42"/>
    <mergeCell ref="A43:M43"/>
    <mergeCell ref="A54:M54"/>
  </mergeCells>
  <printOptions horizontalCentered="1"/>
  <pageMargins left="0.65" right="0.31" top="0.11811023622047245" bottom="0.31496062992125984" header="0" footer="0"/>
  <pageSetup paperSize="5" scale="88" fitToHeight="4" orientation="landscape"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tabColor rgb="FFFFFF00"/>
  </sheetPr>
  <dimension ref="A1:Z118"/>
  <sheetViews>
    <sheetView workbookViewId="0">
      <selection activeCell="B17" sqref="B17"/>
    </sheetView>
  </sheetViews>
  <sheetFormatPr baseColWidth="10" defaultRowHeight="12.75" x14ac:dyDescent="0.2"/>
  <cols>
    <col min="1" max="1" width="16.42578125" style="552" bestFit="1" customWidth="1"/>
    <col min="2" max="2" width="13.7109375" style="552" bestFit="1" customWidth="1"/>
    <col min="3" max="3" width="15.28515625" style="552" bestFit="1" customWidth="1"/>
    <col min="4" max="4" width="13.7109375" style="552" bestFit="1" customWidth="1"/>
    <col min="5" max="5" width="15.28515625" style="552" bestFit="1" customWidth="1"/>
    <col min="6" max="12" width="13.7109375" style="552" bestFit="1" customWidth="1"/>
    <col min="13" max="13" width="13.7109375" style="552" customWidth="1"/>
    <col min="14" max="15" width="13.7109375" style="552" bestFit="1" customWidth="1"/>
    <col min="16" max="16" width="16.42578125" style="552" bestFit="1" customWidth="1"/>
    <col min="17" max="256" width="11.42578125" style="552"/>
    <col min="257" max="257" width="15.28515625" style="552" bestFit="1" customWidth="1"/>
    <col min="258" max="258" width="13.7109375" style="552" bestFit="1" customWidth="1"/>
    <col min="259" max="259" width="18.42578125" style="552" bestFit="1" customWidth="1"/>
    <col min="260" max="270" width="13.7109375" style="552" bestFit="1" customWidth="1"/>
    <col min="271" max="512" width="11.42578125" style="552"/>
    <col min="513" max="513" width="15.28515625" style="552" bestFit="1" customWidth="1"/>
    <col min="514" max="514" width="13.7109375" style="552" bestFit="1" customWidth="1"/>
    <col min="515" max="515" width="18.42578125" style="552" bestFit="1" customWidth="1"/>
    <col min="516" max="526" width="13.7109375" style="552" bestFit="1" customWidth="1"/>
    <col min="527" max="768" width="11.42578125" style="552"/>
    <col min="769" max="769" width="15.28515625" style="552" bestFit="1" customWidth="1"/>
    <col min="770" max="770" width="13.7109375" style="552" bestFit="1" customWidth="1"/>
    <col min="771" max="771" width="18.42578125" style="552" bestFit="1" customWidth="1"/>
    <col min="772" max="782" width="13.7109375" style="552" bestFit="1" customWidth="1"/>
    <col min="783" max="1024" width="11.42578125" style="552"/>
    <col min="1025" max="1025" width="15.28515625" style="552" bestFit="1" customWidth="1"/>
    <col min="1026" max="1026" width="13.7109375" style="552" bestFit="1" customWidth="1"/>
    <col min="1027" max="1027" width="18.42578125" style="552" bestFit="1" customWidth="1"/>
    <col min="1028" max="1038" width="13.7109375" style="552" bestFit="1" customWidth="1"/>
    <col min="1039" max="1280" width="11.42578125" style="552"/>
    <col min="1281" max="1281" width="15.28515625" style="552" bestFit="1" customWidth="1"/>
    <col min="1282" max="1282" width="13.7109375" style="552" bestFit="1" customWidth="1"/>
    <col min="1283" max="1283" width="18.42578125" style="552" bestFit="1" customWidth="1"/>
    <col min="1284" max="1294" width="13.7109375" style="552" bestFit="1" customWidth="1"/>
    <col min="1295" max="1536" width="11.42578125" style="552"/>
    <col min="1537" max="1537" width="15.28515625" style="552" bestFit="1" customWidth="1"/>
    <col min="1538" max="1538" width="13.7109375" style="552" bestFit="1" customWidth="1"/>
    <col min="1539" max="1539" width="18.42578125" style="552" bestFit="1" customWidth="1"/>
    <col min="1540" max="1550" width="13.7109375" style="552" bestFit="1" customWidth="1"/>
    <col min="1551" max="1792" width="11.42578125" style="552"/>
    <col min="1793" max="1793" width="15.28515625" style="552" bestFit="1" customWidth="1"/>
    <col min="1794" max="1794" width="13.7109375" style="552" bestFit="1" customWidth="1"/>
    <col min="1795" max="1795" width="18.42578125" style="552" bestFit="1" customWidth="1"/>
    <col min="1796" max="1806" width="13.7109375" style="552" bestFit="1" customWidth="1"/>
    <col min="1807" max="2048" width="11.42578125" style="552"/>
    <col min="2049" max="2049" width="15.28515625" style="552" bestFit="1" customWidth="1"/>
    <col min="2050" max="2050" width="13.7109375" style="552" bestFit="1" customWidth="1"/>
    <col min="2051" max="2051" width="18.42578125" style="552" bestFit="1" customWidth="1"/>
    <col min="2052" max="2062" width="13.7109375" style="552" bestFit="1" customWidth="1"/>
    <col min="2063" max="2304" width="11.42578125" style="552"/>
    <col min="2305" max="2305" width="15.28515625" style="552" bestFit="1" customWidth="1"/>
    <col min="2306" max="2306" width="13.7109375" style="552" bestFit="1" customWidth="1"/>
    <col min="2307" max="2307" width="18.42578125" style="552" bestFit="1" customWidth="1"/>
    <col min="2308" max="2318" width="13.7109375" style="552" bestFit="1" customWidth="1"/>
    <col min="2319" max="2560" width="11.42578125" style="552"/>
    <col min="2561" max="2561" width="15.28515625" style="552" bestFit="1" customWidth="1"/>
    <col min="2562" max="2562" width="13.7109375" style="552" bestFit="1" customWidth="1"/>
    <col min="2563" max="2563" width="18.42578125" style="552" bestFit="1" customWidth="1"/>
    <col min="2564" max="2574" width="13.7109375" style="552" bestFit="1" customWidth="1"/>
    <col min="2575" max="2816" width="11.42578125" style="552"/>
    <col min="2817" max="2817" width="15.28515625" style="552" bestFit="1" customWidth="1"/>
    <col min="2818" max="2818" width="13.7109375" style="552" bestFit="1" customWidth="1"/>
    <col min="2819" max="2819" width="18.42578125" style="552" bestFit="1" customWidth="1"/>
    <col min="2820" max="2830" width="13.7109375" style="552" bestFit="1" customWidth="1"/>
    <col min="2831" max="3072" width="11.42578125" style="552"/>
    <col min="3073" max="3073" width="15.28515625" style="552" bestFit="1" customWidth="1"/>
    <col min="3074" max="3074" width="13.7109375" style="552" bestFit="1" customWidth="1"/>
    <col min="3075" max="3075" width="18.42578125" style="552" bestFit="1" customWidth="1"/>
    <col min="3076" max="3086" width="13.7109375" style="552" bestFit="1" customWidth="1"/>
    <col min="3087" max="3328" width="11.42578125" style="552"/>
    <col min="3329" max="3329" width="15.28515625" style="552" bestFit="1" customWidth="1"/>
    <col min="3330" max="3330" width="13.7109375" style="552" bestFit="1" customWidth="1"/>
    <col min="3331" max="3331" width="18.42578125" style="552" bestFit="1" customWidth="1"/>
    <col min="3332" max="3342" width="13.7109375" style="552" bestFit="1" customWidth="1"/>
    <col min="3343" max="3584" width="11.42578125" style="552"/>
    <col min="3585" max="3585" width="15.28515625" style="552" bestFit="1" customWidth="1"/>
    <col min="3586" max="3586" width="13.7109375" style="552" bestFit="1" customWidth="1"/>
    <col min="3587" max="3587" width="18.42578125" style="552" bestFit="1" customWidth="1"/>
    <col min="3588" max="3598" width="13.7109375" style="552" bestFit="1" customWidth="1"/>
    <col min="3599" max="3840" width="11.42578125" style="552"/>
    <col min="3841" max="3841" width="15.28515625" style="552" bestFit="1" customWidth="1"/>
    <col min="3842" max="3842" width="13.7109375" style="552" bestFit="1" customWidth="1"/>
    <col min="3843" max="3843" width="18.42578125" style="552" bestFit="1" customWidth="1"/>
    <col min="3844" max="3854" width="13.7109375" style="552" bestFit="1" customWidth="1"/>
    <col min="3855" max="4096" width="11.42578125" style="552"/>
    <col min="4097" max="4097" width="15.28515625" style="552" bestFit="1" customWidth="1"/>
    <col min="4098" max="4098" width="13.7109375" style="552" bestFit="1" customWidth="1"/>
    <col min="4099" max="4099" width="18.42578125" style="552" bestFit="1" customWidth="1"/>
    <col min="4100" max="4110" width="13.7109375" style="552" bestFit="1" customWidth="1"/>
    <col min="4111" max="4352" width="11.42578125" style="552"/>
    <col min="4353" max="4353" width="15.28515625" style="552" bestFit="1" customWidth="1"/>
    <col min="4354" max="4354" width="13.7109375" style="552" bestFit="1" customWidth="1"/>
    <col min="4355" max="4355" width="18.42578125" style="552" bestFit="1" customWidth="1"/>
    <col min="4356" max="4366" width="13.7109375" style="552" bestFit="1" customWidth="1"/>
    <col min="4367" max="4608" width="11.42578125" style="552"/>
    <col min="4609" max="4609" width="15.28515625" style="552" bestFit="1" customWidth="1"/>
    <col min="4610" max="4610" width="13.7109375" style="552" bestFit="1" customWidth="1"/>
    <col min="4611" max="4611" width="18.42578125" style="552" bestFit="1" customWidth="1"/>
    <col min="4612" max="4622" width="13.7109375" style="552" bestFit="1" customWidth="1"/>
    <col min="4623" max="4864" width="11.42578125" style="552"/>
    <col min="4865" max="4865" width="15.28515625" style="552" bestFit="1" customWidth="1"/>
    <col min="4866" max="4866" width="13.7109375" style="552" bestFit="1" customWidth="1"/>
    <col min="4867" max="4867" width="18.42578125" style="552" bestFit="1" customWidth="1"/>
    <col min="4868" max="4878" width="13.7109375" style="552" bestFit="1" customWidth="1"/>
    <col min="4879" max="5120" width="11.42578125" style="552"/>
    <col min="5121" max="5121" width="15.28515625" style="552" bestFit="1" customWidth="1"/>
    <col min="5122" max="5122" width="13.7109375" style="552" bestFit="1" customWidth="1"/>
    <col min="5123" max="5123" width="18.42578125" style="552" bestFit="1" customWidth="1"/>
    <col min="5124" max="5134" width="13.7109375" style="552" bestFit="1" customWidth="1"/>
    <col min="5135" max="5376" width="11.42578125" style="552"/>
    <col min="5377" max="5377" width="15.28515625" style="552" bestFit="1" customWidth="1"/>
    <col min="5378" max="5378" width="13.7109375" style="552" bestFit="1" customWidth="1"/>
    <col min="5379" max="5379" width="18.42578125" style="552" bestFit="1" customWidth="1"/>
    <col min="5380" max="5390" width="13.7109375" style="552" bestFit="1" customWidth="1"/>
    <col min="5391" max="5632" width="11.42578125" style="552"/>
    <col min="5633" max="5633" width="15.28515625" style="552" bestFit="1" customWidth="1"/>
    <col min="5634" max="5634" width="13.7109375" style="552" bestFit="1" customWidth="1"/>
    <col min="5635" max="5635" width="18.42578125" style="552" bestFit="1" customWidth="1"/>
    <col min="5636" max="5646" width="13.7109375" style="552" bestFit="1" customWidth="1"/>
    <col min="5647" max="5888" width="11.42578125" style="552"/>
    <col min="5889" max="5889" width="15.28515625" style="552" bestFit="1" customWidth="1"/>
    <col min="5890" max="5890" width="13.7109375" style="552" bestFit="1" customWidth="1"/>
    <col min="5891" max="5891" width="18.42578125" style="552" bestFit="1" customWidth="1"/>
    <col min="5892" max="5902" width="13.7109375" style="552" bestFit="1" customWidth="1"/>
    <col min="5903" max="6144" width="11.42578125" style="552"/>
    <col min="6145" max="6145" width="15.28515625" style="552" bestFit="1" customWidth="1"/>
    <col min="6146" max="6146" width="13.7109375" style="552" bestFit="1" customWidth="1"/>
    <col min="6147" max="6147" width="18.42578125" style="552" bestFit="1" customWidth="1"/>
    <col min="6148" max="6158" width="13.7109375" style="552" bestFit="1" customWidth="1"/>
    <col min="6159" max="6400" width="11.42578125" style="552"/>
    <col min="6401" max="6401" width="15.28515625" style="552" bestFit="1" customWidth="1"/>
    <col min="6402" max="6402" width="13.7109375" style="552" bestFit="1" customWidth="1"/>
    <col min="6403" max="6403" width="18.42578125" style="552" bestFit="1" customWidth="1"/>
    <col min="6404" max="6414" width="13.7109375" style="552" bestFit="1" customWidth="1"/>
    <col min="6415" max="6656" width="11.42578125" style="552"/>
    <col min="6657" max="6657" width="15.28515625" style="552" bestFit="1" customWidth="1"/>
    <col min="6658" max="6658" width="13.7109375" style="552" bestFit="1" customWidth="1"/>
    <col min="6659" max="6659" width="18.42578125" style="552" bestFit="1" customWidth="1"/>
    <col min="6660" max="6670" width="13.7109375" style="552" bestFit="1" customWidth="1"/>
    <col min="6671" max="6912" width="11.42578125" style="552"/>
    <col min="6913" max="6913" width="15.28515625" style="552" bestFit="1" customWidth="1"/>
    <col min="6914" max="6914" width="13.7109375" style="552" bestFit="1" customWidth="1"/>
    <col min="6915" max="6915" width="18.42578125" style="552" bestFit="1" customWidth="1"/>
    <col min="6916" max="6926" width="13.7109375" style="552" bestFit="1" customWidth="1"/>
    <col min="6927" max="7168" width="11.42578125" style="552"/>
    <col min="7169" max="7169" width="15.28515625" style="552" bestFit="1" customWidth="1"/>
    <col min="7170" max="7170" width="13.7109375" style="552" bestFit="1" customWidth="1"/>
    <col min="7171" max="7171" width="18.42578125" style="552" bestFit="1" customWidth="1"/>
    <col min="7172" max="7182" width="13.7109375" style="552" bestFit="1" customWidth="1"/>
    <col min="7183" max="7424" width="11.42578125" style="552"/>
    <col min="7425" max="7425" width="15.28515625" style="552" bestFit="1" customWidth="1"/>
    <col min="7426" max="7426" width="13.7109375" style="552" bestFit="1" customWidth="1"/>
    <col min="7427" max="7427" width="18.42578125" style="552" bestFit="1" customWidth="1"/>
    <col min="7428" max="7438" width="13.7109375" style="552" bestFit="1" customWidth="1"/>
    <col min="7439" max="7680" width="11.42578125" style="552"/>
    <col min="7681" max="7681" width="15.28515625" style="552" bestFit="1" customWidth="1"/>
    <col min="7682" max="7682" width="13.7109375" style="552" bestFit="1" customWidth="1"/>
    <col min="7683" max="7683" width="18.42578125" style="552" bestFit="1" customWidth="1"/>
    <col min="7684" max="7694" width="13.7109375" style="552" bestFit="1" customWidth="1"/>
    <col min="7695" max="7936" width="11.42578125" style="552"/>
    <col min="7937" max="7937" width="15.28515625" style="552" bestFit="1" customWidth="1"/>
    <col min="7938" max="7938" width="13.7109375" style="552" bestFit="1" customWidth="1"/>
    <col min="7939" max="7939" width="18.42578125" style="552" bestFit="1" customWidth="1"/>
    <col min="7940" max="7950" width="13.7109375" style="552" bestFit="1" customWidth="1"/>
    <col min="7951" max="8192" width="11.42578125" style="552"/>
    <col min="8193" max="8193" width="15.28515625" style="552" bestFit="1" customWidth="1"/>
    <col min="8194" max="8194" width="13.7109375" style="552" bestFit="1" customWidth="1"/>
    <col min="8195" max="8195" width="18.42578125" style="552" bestFit="1" customWidth="1"/>
    <col min="8196" max="8206" width="13.7109375" style="552" bestFit="1" customWidth="1"/>
    <col min="8207" max="8448" width="11.42578125" style="552"/>
    <col min="8449" max="8449" width="15.28515625" style="552" bestFit="1" customWidth="1"/>
    <col min="8450" max="8450" width="13.7109375" style="552" bestFit="1" customWidth="1"/>
    <col min="8451" max="8451" width="18.42578125" style="552" bestFit="1" customWidth="1"/>
    <col min="8452" max="8462" width="13.7109375" style="552" bestFit="1" customWidth="1"/>
    <col min="8463" max="8704" width="11.42578125" style="552"/>
    <col min="8705" max="8705" width="15.28515625" style="552" bestFit="1" customWidth="1"/>
    <col min="8706" max="8706" width="13.7109375" style="552" bestFit="1" customWidth="1"/>
    <col min="8707" max="8707" width="18.42578125" style="552" bestFit="1" customWidth="1"/>
    <col min="8708" max="8718" width="13.7109375" style="552" bestFit="1" customWidth="1"/>
    <col min="8719" max="8960" width="11.42578125" style="552"/>
    <col min="8961" max="8961" width="15.28515625" style="552" bestFit="1" customWidth="1"/>
    <col min="8962" max="8962" width="13.7109375" style="552" bestFit="1" customWidth="1"/>
    <col min="8963" max="8963" width="18.42578125" style="552" bestFit="1" customWidth="1"/>
    <col min="8964" max="8974" width="13.7109375" style="552" bestFit="1" customWidth="1"/>
    <col min="8975" max="9216" width="11.42578125" style="552"/>
    <col min="9217" max="9217" width="15.28515625" style="552" bestFit="1" customWidth="1"/>
    <col min="9218" max="9218" width="13.7109375" style="552" bestFit="1" customWidth="1"/>
    <col min="9219" max="9219" width="18.42578125" style="552" bestFit="1" customWidth="1"/>
    <col min="9220" max="9230" width="13.7109375" style="552" bestFit="1" customWidth="1"/>
    <col min="9231" max="9472" width="11.42578125" style="552"/>
    <col min="9473" max="9473" width="15.28515625" style="552" bestFit="1" customWidth="1"/>
    <col min="9474" max="9474" width="13.7109375" style="552" bestFit="1" customWidth="1"/>
    <col min="9475" max="9475" width="18.42578125" style="552" bestFit="1" customWidth="1"/>
    <col min="9476" max="9486" width="13.7109375" style="552" bestFit="1" customWidth="1"/>
    <col min="9487" max="9728" width="11.42578125" style="552"/>
    <col min="9729" max="9729" width="15.28515625" style="552" bestFit="1" customWidth="1"/>
    <col min="9730" max="9730" width="13.7109375" style="552" bestFit="1" customWidth="1"/>
    <col min="9731" max="9731" width="18.42578125" style="552" bestFit="1" customWidth="1"/>
    <col min="9732" max="9742" width="13.7109375" style="552" bestFit="1" customWidth="1"/>
    <col min="9743" max="9984" width="11.42578125" style="552"/>
    <col min="9985" max="9985" width="15.28515625" style="552" bestFit="1" customWidth="1"/>
    <col min="9986" max="9986" width="13.7109375" style="552" bestFit="1" customWidth="1"/>
    <col min="9987" max="9987" width="18.42578125" style="552" bestFit="1" customWidth="1"/>
    <col min="9988" max="9998" width="13.7109375" style="552" bestFit="1" customWidth="1"/>
    <col min="9999" max="10240" width="11.42578125" style="552"/>
    <col min="10241" max="10241" width="15.28515625" style="552" bestFit="1" customWidth="1"/>
    <col min="10242" max="10242" width="13.7109375" style="552" bestFit="1" customWidth="1"/>
    <col min="10243" max="10243" width="18.42578125" style="552" bestFit="1" customWidth="1"/>
    <col min="10244" max="10254" width="13.7109375" style="552" bestFit="1" customWidth="1"/>
    <col min="10255" max="10496" width="11.42578125" style="552"/>
    <col min="10497" max="10497" width="15.28515625" style="552" bestFit="1" customWidth="1"/>
    <col min="10498" max="10498" width="13.7109375" style="552" bestFit="1" customWidth="1"/>
    <col min="10499" max="10499" width="18.42578125" style="552" bestFit="1" customWidth="1"/>
    <col min="10500" max="10510" width="13.7109375" style="552" bestFit="1" customWidth="1"/>
    <col min="10511" max="10752" width="11.42578125" style="552"/>
    <col min="10753" max="10753" width="15.28515625" style="552" bestFit="1" customWidth="1"/>
    <col min="10754" max="10754" width="13.7109375" style="552" bestFit="1" customWidth="1"/>
    <col min="10755" max="10755" width="18.42578125" style="552" bestFit="1" customWidth="1"/>
    <col min="10756" max="10766" width="13.7109375" style="552" bestFit="1" customWidth="1"/>
    <col min="10767" max="11008" width="11.42578125" style="552"/>
    <col min="11009" max="11009" width="15.28515625" style="552" bestFit="1" customWidth="1"/>
    <col min="11010" max="11010" width="13.7109375" style="552" bestFit="1" customWidth="1"/>
    <col min="11011" max="11011" width="18.42578125" style="552" bestFit="1" customWidth="1"/>
    <col min="11012" max="11022" width="13.7109375" style="552" bestFit="1" customWidth="1"/>
    <col min="11023" max="11264" width="11.42578125" style="552"/>
    <col min="11265" max="11265" width="15.28515625" style="552" bestFit="1" customWidth="1"/>
    <col min="11266" max="11266" width="13.7109375" style="552" bestFit="1" customWidth="1"/>
    <col min="11267" max="11267" width="18.42578125" style="552" bestFit="1" customWidth="1"/>
    <col min="11268" max="11278" width="13.7109375" style="552" bestFit="1" customWidth="1"/>
    <col min="11279" max="11520" width="11.42578125" style="552"/>
    <col min="11521" max="11521" width="15.28515625" style="552" bestFit="1" customWidth="1"/>
    <col min="11522" max="11522" width="13.7109375" style="552" bestFit="1" customWidth="1"/>
    <col min="11523" max="11523" width="18.42578125" style="552" bestFit="1" customWidth="1"/>
    <col min="11524" max="11534" width="13.7109375" style="552" bestFit="1" customWidth="1"/>
    <col min="11535" max="11776" width="11.42578125" style="552"/>
    <col min="11777" max="11777" width="15.28515625" style="552" bestFit="1" customWidth="1"/>
    <col min="11778" max="11778" width="13.7109375" style="552" bestFit="1" customWidth="1"/>
    <col min="11779" max="11779" width="18.42578125" style="552" bestFit="1" customWidth="1"/>
    <col min="11780" max="11790" width="13.7109375" style="552" bestFit="1" customWidth="1"/>
    <col min="11791" max="12032" width="11.42578125" style="552"/>
    <col min="12033" max="12033" width="15.28515625" style="552" bestFit="1" customWidth="1"/>
    <col min="12034" max="12034" width="13.7109375" style="552" bestFit="1" customWidth="1"/>
    <col min="12035" max="12035" width="18.42578125" style="552" bestFit="1" customWidth="1"/>
    <col min="12036" max="12046" width="13.7109375" style="552" bestFit="1" customWidth="1"/>
    <col min="12047" max="12288" width="11.42578125" style="552"/>
    <col min="12289" max="12289" width="15.28515625" style="552" bestFit="1" customWidth="1"/>
    <col min="12290" max="12290" width="13.7109375" style="552" bestFit="1" customWidth="1"/>
    <col min="12291" max="12291" width="18.42578125" style="552" bestFit="1" customWidth="1"/>
    <col min="12292" max="12302" width="13.7109375" style="552" bestFit="1" customWidth="1"/>
    <col min="12303" max="12544" width="11.42578125" style="552"/>
    <col min="12545" max="12545" width="15.28515625" style="552" bestFit="1" customWidth="1"/>
    <col min="12546" max="12546" width="13.7109375" style="552" bestFit="1" customWidth="1"/>
    <col min="12547" max="12547" width="18.42578125" style="552" bestFit="1" customWidth="1"/>
    <col min="12548" max="12558" width="13.7109375" style="552" bestFit="1" customWidth="1"/>
    <col min="12559" max="12800" width="11.42578125" style="552"/>
    <col min="12801" max="12801" width="15.28515625" style="552" bestFit="1" customWidth="1"/>
    <col min="12802" max="12802" width="13.7109375" style="552" bestFit="1" customWidth="1"/>
    <col min="12803" max="12803" width="18.42578125" style="552" bestFit="1" customWidth="1"/>
    <col min="12804" max="12814" width="13.7109375" style="552" bestFit="1" customWidth="1"/>
    <col min="12815" max="13056" width="11.42578125" style="552"/>
    <col min="13057" max="13057" width="15.28515625" style="552" bestFit="1" customWidth="1"/>
    <col min="13058" max="13058" width="13.7109375" style="552" bestFit="1" customWidth="1"/>
    <col min="13059" max="13059" width="18.42578125" style="552" bestFit="1" customWidth="1"/>
    <col min="13060" max="13070" width="13.7109375" style="552" bestFit="1" customWidth="1"/>
    <col min="13071" max="13312" width="11.42578125" style="552"/>
    <col min="13313" max="13313" width="15.28515625" style="552" bestFit="1" customWidth="1"/>
    <col min="13314" max="13314" width="13.7109375" style="552" bestFit="1" customWidth="1"/>
    <col min="13315" max="13315" width="18.42578125" style="552" bestFit="1" customWidth="1"/>
    <col min="13316" max="13326" width="13.7109375" style="552" bestFit="1" customWidth="1"/>
    <col min="13327" max="13568" width="11.42578125" style="552"/>
    <col min="13569" max="13569" width="15.28515625" style="552" bestFit="1" customWidth="1"/>
    <col min="13570" max="13570" width="13.7109375" style="552" bestFit="1" customWidth="1"/>
    <col min="13571" max="13571" width="18.42578125" style="552" bestFit="1" customWidth="1"/>
    <col min="13572" max="13582" width="13.7109375" style="552" bestFit="1" customWidth="1"/>
    <col min="13583" max="13824" width="11.42578125" style="552"/>
    <col min="13825" max="13825" width="15.28515625" style="552" bestFit="1" customWidth="1"/>
    <col min="13826" max="13826" width="13.7109375" style="552" bestFit="1" customWidth="1"/>
    <col min="13827" max="13827" width="18.42578125" style="552" bestFit="1" customWidth="1"/>
    <col min="13828" max="13838" width="13.7109375" style="552" bestFit="1" customWidth="1"/>
    <col min="13839" max="14080" width="11.42578125" style="552"/>
    <col min="14081" max="14081" width="15.28515625" style="552" bestFit="1" customWidth="1"/>
    <col min="14082" max="14082" width="13.7109375" style="552" bestFit="1" customWidth="1"/>
    <col min="14083" max="14083" width="18.42578125" style="552" bestFit="1" customWidth="1"/>
    <col min="14084" max="14094" width="13.7109375" style="552" bestFit="1" customWidth="1"/>
    <col min="14095" max="14336" width="11.42578125" style="552"/>
    <col min="14337" max="14337" width="15.28515625" style="552" bestFit="1" customWidth="1"/>
    <col min="14338" max="14338" width="13.7109375" style="552" bestFit="1" customWidth="1"/>
    <col min="14339" max="14339" width="18.42578125" style="552" bestFit="1" customWidth="1"/>
    <col min="14340" max="14350" width="13.7109375" style="552" bestFit="1" customWidth="1"/>
    <col min="14351" max="14592" width="11.42578125" style="552"/>
    <col min="14593" max="14593" width="15.28515625" style="552" bestFit="1" customWidth="1"/>
    <col min="14594" max="14594" width="13.7109375" style="552" bestFit="1" customWidth="1"/>
    <col min="14595" max="14595" width="18.42578125" style="552" bestFit="1" customWidth="1"/>
    <col min="14596" max="14606" width="13.7109375" style="552" bestFit="1" customWidth="1"/>
    <col min="14607" max="14848" width="11.42578125" style="552"/>
    <col min="14849" max="14849" width="15.28515625" style="552" bestFit="1" customWidth="1"/>
    <col min="14850" max="14850" width="13.7109375" style="552" bestFit="1" customWidth="1"/>
    <col min="14851" max="14851" width="18.42578125" style="552" bestFit="1" customWidth="1"/>
    <col min="14852" max="14862" width="13.7109375" style="552" bestFit="1" customWidth="1"/>
    <col min="14863" max="15104" width="11.42578125" style="552"/>
    <col min="15105" max="15105" width="15.28515625" style="552" bestFit="1" customWidth="1"/>
    <col min="15106" max="15106" width="13.7109375" style="552" bestFit="1" customWidth="1"/>
    <col min="15107" max="15107" width="18.42578125" style="552" bestFit="1" customWidth="1"/>
    <col min="15108" max="15118" width="13.7109375" style="552" bestFit="1" customWidth="1"/>
    <col min="15119" max="15360" width="11.42578125" style="552"/>
    <col min="15361" max="15361" width="15.28515625" style="552" bestFit="1" customWidth="1"/>
    <col min="15362" max="15362" width="13.7109375" style="552" bestFit="1" customWidth="1"/>
    <col min="15363" max="15363" width="18.42578125" style="552" bestFit="1" customWidth="1"/>
    <col min="15364" max="15374" width="13.7109375" style="552" bestFit="1" customWidth="1"/>
    <col min="15375" max="15616" width="11.42578125" style="552"/>
    <col min="15617" max="15617" width="15.28515625" style="552" bestFit="1" customWidth="1"/>
    <col min="15618" max="15618" width="13.7109375" style="552" bestFit="1" customWidth="1"/>
    <col min="15619" max="15619" width="18.42578125" style="552" bestFit="1" customWidth="1"/>
    <col min="15620" max="15630" width="13.7109375" style="552" bestFit="1" customWidth="1"/>
    <col min="15631" max="15872" width="11.42578125" style="552"/>
    <col min="15873" max="15873" width="15.28515625" style="552" bestFit="1" customWidth="1"/>
    <col min="15874" max="15874" width="13.7109375" style="552" bestFit="1" customWidth="1"/>
    <col min="15875" max="15875" width="18.42578125" style="552" bestFit="1" customWidth="1"/>
    <col min="15876" max="15886" width="13.7109375" style="552" bestFit="1" customWidth="1"/>
    <col min="15887" max="16128" width="11.42578125" style="552"/>
    <col min="16129" max="16129" width="15.28515625" style="552" bestFit="1" customWidth="1"/>
    <col min="16130" max="16130" width="13.7109375" style="552" bestFit="1" customWidth="1"/>
    <col min="16131" max="16131" width="18.42578125" style="552" bestFit="1" customWidth="1"/>
    <col min="16132" max="16142" width="13.7109375" style="552" bestFit="1" customWidth="1"/>
    <col min="16143" max="16384" width="11.42578125" style="552"/>
  </cols>
  <sheetData>
    <row r="1" spans="1:15" ht="15.75" x14ac:dyDescent="0.25">
      <c r="A1" s="1213" t="s">
        <v>269</v>
      </c>
      <c r="B1" s="1213"/>
      <c r="C1" s="1213"/>
      <c r="D1" s="1213"/>
      <c r="E1" s="1213"/>
      <c r="F1" s="1213"/>
      <c r="G1" s="1213"/>
      <c r="H1" s="1213"/>
      <c r="I1" s="1213"/>
      <c r="J1" s="1213"/>
      <c r="K1" s="1213"/>
      <c r="L1" s="1213"/>
      <c r="M1" s="1213"/>
    </row>
    <row r="2" spans="1:15" x14ac:dyDescent="0.2">
      <c r="A2" s="1214" t="s">
        <v>270</v>
      </c>
      <c r="B2" s="1214"/>
      <c r="C2" s="1214"/>
      <c r="D2" s="1214"/>
      <c r="E2" s="1214"/>
      <c r="F2" s="1214"/>
      <c r="G2" s="1214"/>
      <c r="H2" s="1214"/>
      <c r="I2" s="1214"/>
      <c r="J2" s="1214"/>
      <c r="K2" s="1214"/>
      <c r="L2" s="1214"/>
      <c r="M2" s="1214"/>
      <c r="N2" s="641"/>
      <c r="O2" s="641"/>
    </row>
    <row r="3" spans="1:15" x14ac:dyDescent="0.2">
      <c r="A3" s="1214" t="s">
        <v>271</v>
      </c>
      <c r="B3" s="1214"/>
      <c r="C3" s="1214"/>
      <c r="D3" s="1214"/>
      <c r="E3" s="1214"/>
      <c r="F3" s="1214"/>
      <c r="G3" s="1214"/>
      <c r="H3" s="1214"/>
      <c r="I3" s="1214"/>
      <c r="J3" s="1214"/>
      <c r="K3" s="1214"/>
      <c r="L3" s="1214"/>
      <c r="M3" s="1214"/>
      <c r="N3" s="641"/>
      <c r="O3" s="641"/>
    </row>
    <row r="4" spans="1:15" x14ac:dyDescent="0.2">
      <c r="A4" s="1232" t="s">
        <v>346</v>
      </c>
      <c r="B4" s="1232"/>
      <c r="C4" s="1232"/>
      <c r="D4" s="1232"/>
      <c r="E4" s="1232"/>
      <c r="F4" s="1232"/>
      <c r="G4" s="1232"/>
      <c r="H4" s="1232"/>
      <c r="I4" s="1232"/>
      <c r="J4" s="1232"/>
      <c r="K4" s="1232"/>
      <c r="L4" s="1232"/>
      <c r="M4" s="1232"/>
      <c r="N4" s="812"/>
    </row>
    <row r="5" spans="1:15" x14ac:dyDescent="0.2">
      <c r="A5" s="1244" t="s">
        <v>456</v>
      </c>
      <c r="B5" s="1244"/>
      <c r="C5" s="1244"/>
      <c r="D5" s="1244"/>
      <c r="E5" s="1244"/>
      <c r="F5" s="1244"/>
      <c r="G5" s="1244"/>
      <c r="H5" s="1244"/>
      <c r="I5" s="1244"/>
      <c r="J5" s="1244"/>
      <c r="K5" s="1244"/>
      <c r="L5" s="1244"/>
      <c r="M5" s="1244"/>
      <c r="N5" s="813"/>
    </row>
    <row r="6" spans="1:15" x14ac:dyDescent="0.2">
      <c r="A6" s="642"/>
      <c r="B6" s="809"/>
      <c r="C6" s="809"/>
      <c r="D6" s="809"/>
      <c r="E6" s="809"/>
      <c r="F6" s="809"/>
      <c r="G6" s="809"/>
      <c r="H6" s="809"/>
      <c r="I6" s="809"/>
      <c r="J6" s="809"/>
      <c r="K6" s="809"/>
      <c r="L6" s="809"/>
      <c r="M6" s="809"/>
      <c r="N6" s="812"/>
    </row>
    <row r="7" spans="1:15" x14ac:dyDescent="0.2">
      <c r="A7" s="642">
        <f>SUM(B7:M7)</f>
        <v>100.00000000000001</v>
      </c>
      <c r="B7" s="809">
        <f>B10/$A$10*100</f>
        <v>7.5634698564025289</v>
      </c>
      <c r="C7" s="809">
        <f t="shared" ref="C7:M7" si="0">C10/$A$10*100</f>
        <v>10.83655923139986</v>
      </c>
      <c r="D7" s="809">
        <f t="shared" si="0"/>
        <v>7.00470591396485</v>
      </c>
      <c r="E7" s="809">
        <f t="shared" si="0"/>
        <v>8.6045714948366818</v>
      </c>
      <c r="F7" s="809">
        <f t="shared" si="0"/>
        <v>10.508061922609725</v>
      </c>
      <c r="G7" s="809">
        <f t="shared" si="0"/>
        <v>10.301609346490315</v>
      </c>
      <c r="H7" s="809">
        <f t="shared" si="0"/>
        <v>7.9858445993673932</v>
      </c>
      <c r="I7" s="809">
        <f t="shared" si="0"/>
        <v>8.4788485504275766</v>
      </c>
      <c r="J7" s="809">
        <f t="shared" si="0"/>
        <v>7.9680146057384968</v>
      </c>
      <c r="K7" s="809">
        <f t="shared" si="0"/>
        <v>5.2821813281143744</v>
      </c>
      <c r="L7" s="809">
        <f t="shared" si="0"/>
        <v>7.7090744161691562</v>
      </c>
      <c r="M7" s="809">
        <f t="shared" si="0"/>
        <v>7.7570587344790418</v>
      </c>
      <c r="N7" s="812"/>
    </row>
    <row r="8" spans="1:15" ht="13.5" thickBot="1" x14ac:dyDescent="0.25">
      <c r="A8" s="1236"/>
      <c r="B8" s="1236"/>
      <c r="C8" s="1236"/>
      <c r="D8" s="1236"/>
      <c r="E8" s="1236"/>
      <c r="F8" s="1236"/>
      <c r="G8" s="1236"/>
      <c r="H8" s="1236"/>
      <c r="I8" s="1236"/>
      <c r="J8" s="1236"/>
      <c r="K8" s="1236"/>
      <c r="L8" s="1236"/>
      <c r="M8" s="1236"/>
      <c r="N8" s="812"/>
    </row>
    <row r="9" spans="1:15" ht="13.5" thickBot="1" x14ac:dyDescent="0.25">
      <c r="A9" s="644" t="s">
        <v>347</v>
      </c>
      <c r="B9" s="644" t="s">
        <v>1</v>
      </c>
      <c r="C9" s="644" t="s">
        <v>2</v>
      </c>
      <c r="D9" s="644" t="s">
        <v>3</v>
      </c>
      <c r="E9" s="644" t="s">
        <v>4</v>
      </c>
      <c r="F9" s="644" t="s">
        <v>5</v>
      </c>
      <c r="G9" s="644" t="s">
        <v>6</v>
      </c>
      <c r="H9" s="644" t="s">
        <v>7</v>
      </c>
      <c r="I9" s="644" t="s">
        <v>8</v>
      </c>
      <c r="J9" s="644" t="s">
        <v>9</v>
      </c>
      <c r="K9" s="644" t="s">
        <v>10</v>
      </c>
      <c r="L9" s="644" t="s">
        <v>11</v>
      </c>
      <c r="M9" s="644" t="s">
        <v>12</v>
      </c>
      <c r="N9" s="809"/>
    </row>
    <row r="10" spans="1:15" ht="13.5" thickBot="1" x14ac:dyDescent="0.25">
      <c r="A10" s="646">
        <f>B10+C10+D10+E10+F10+G10+H10+I10+J10+K10+L10+M10</f>
        <v>8622885863</v>
      </c>
      <c r="B10" s="814">
        <v>652189373</v>
      </c>
      <c r="C10" s="814">
        <v>934424134</v>
      </c>
      <c r="D10" s="814">
        <v>604007796</v>
      </c>
      <c r="E10" s="814">
        <v>741962379</v>
      </c>
      <c r="F10" s="814">
        <v>906098186</v>
      </c>
      <c r="G10" s="814">
        <v>888296016</v>
      </c>
      <c r="H10" s="814">
        <v>688610265</v>
      </c>
      <c r="I10" s="814">
        <v>731121433</v>
      </c>
      <c r="J10" s="814">
        <v>687072805</v>
      </c>
      <c r="K10" s="814">
        <v>455476467</v>
      </c>
      <c r="L10" s="814">
        <v>664744688</v>
      </c>
      <c r="M10" s="815">
        <v>668882321</v>
      </c>
      <c r="N10" s="816">
        <f>SUM(B10:M10)</f>
        <v>8622885863</v>
      </c>
    </row>
    <row r="11" spans="1:15" ht="13.5" thickBot="1" x14ac:dyDescent="0.25">
      <c r="A11" s="652">
        <v>0.22500000000000001</v>
      </c>
      <c r="B11" s="677">
        <v>0.22500000000000001</v>
      </c>
      <c r="C11" s="817">
        <v>0.22500000000000001</v>
      </c>
      <c r="D11" s="817">
        <v>0.22500000000000001</v>
      </c>
      <c r="E11" s="817">
        <v>0.22500000000000001</v>
      </c>
      <c r="F11" s="817">
        <v>0.22500000000000001</v>
      </c>
      <c r="G11" s="817">
        <v>0.22500000000000001</v>
      </c>
      <c r="H11" s="817">
        <v>0.22500000000000001</v>
      </c>
      <c r="I11" s="817">
        <v>0.22500000000000001</v>
      </c>
      <c r="J11" s="817">
        <v>0.22500000000000001</v>
      </c>
      <c r="K11" s="817">
        <v>0.22500000000000001</v>
      </c>
      <c r="L11" s="817">
        <v>0.22500000000000001</v>
      </c>
      <c r="M11" s="817">
        <v>0.22500000000000001</v>
      </c>
      <c r="N11" s="665"/>
    </row>
    <row r="12" spans="1:15" ht="13.5" thickBot="1" x14ac:dyDescent="0.25">
      <c r="A12" s="646">
        <f>A10*A11</f>
        <v>1940149319.175</v>
      </c>
      <c r="B12" s="646">
        <f>B10*B11</f>
        <v>146742608.92500001</v>
      </c>
      <c r="C12" s="646">
        <f>C10*C11</f>
        <v>210245430.15000001</v>
      </c>
      <c r="D12" s="646">
        <f>D10*D11</f>
        <v>135901754.09999999</v>
      </c>
      <c r="E12" s="646">
        <f t="shared" ref="E12:J12" si="1">E10*E11</f>
        <v>166941535.27500001</v>
      </c>
      <c r="F12" s="646">
        <f t="shared" si="1"/>
        <v>203872091.84999999</v>
      </c>
      <c r="G12" s="646">
        <f t="shared" si="1"/>
        <v>199866603.59999999</v>
      </c>
      <c r="H12" s="646">
        <f t="shared" si="1"/>
        <v>154937309.625</v>
      </c>
      <c r="I12" s="646">
        <f t="shared" si="1"/>
        <v>164502322.42500001</v>
      </c>
      <c r="J12" s="646">
        <f t="shared" si="1"/>
        <v>154591381.125</v>
      </c>
      <c r="K12" s="646">
        <f>K10*K11</f>
        <v>102482205.075</v>
      </c>
      <c r="L12" s="646">
        <f>L10*L11</f>
        <v>149567554.80000001</v>
      </c>
      <c r="M12" s="646">
        <f>M10*M11</f>
        <v>150498522.22499999</v>
      </c>
      <c r="N12" s="816">
        <f t="shared" ref="N12" si="2">SUM(B12:M12)</f>
        <v>1940149319.175</v>
      </c>
    </row>
    <row r="13" spans="1:15" ht="13.5" thickBot="1" x14ac:dyDescent="0.25">
      <c r="A13" s="658" t="s">
        <v>380</v>
      </c>
    </row>
    <row r="14" spans="1:15" x14ac:dyDescent="0.2">
      <c r="A14" s="1232" t="s">
        <v>346</v>
      </c>
      <c r="B14" s="1232"/>
      <c r="C14" s="1232"/>
      <c r="D14" s="1232"/>
      <c r="E14" s="1232"/>
      <c r="F14" s="1232"/>
      <c r="G14" s="1232"/>
      <c r="H14" s="1232"/>
      <c r="I14" s="1232"/>
      <c r="J14" s="1232"/>
      <c r="K14" s="1232"/>
      <c r="L14" s="1232"/>
      <c r="M14" s="1232"/>
      <c r="N14" s="812"/>
    </row>
    <row r="15" spans="1:15" x14ac:dyDescent="0.2">
      <c r="A15" s="1244" t="s">
        <v>457</v>
      </c>
      <c r="B15" s="1244"/>
      <c r="C15" s="1244"/>
      <c r="D15" s="1244"/>
      <c r="E15" s="1244"/>
      <c r="F15" s="1244"/>
      <c r="G15" s="1244"/>
      <c r="H15" s="1244"/>
      <c r="I15" s="1244"/>
      <c r="J15" s="1244"/>
      <c r="K15" s="1244"/>
      <c r="L15" s="1244"/>
      <c r="M15" s="1244"/>
      <c r="N15" s="813"/>
    </row>
    <row r="16" spans="1:15" x14ac:dyDescent="0.2">
      <c r="A16" s="642"/>
      <c r="B16" s="809"/>
      <c r="C16" s="809"/>
      <c r="D16" s="809"/>
      <c r="E16" s="809"/>
      <c r="F16" s="809"/>
      <c r="G16" s="809"/>
      <c r="H16" s="809"/>
      <c r="I16" s="809"/>
      <c r="J16" s="809"/>
      <c r="K16" s="809"/>
      <c r="L16" s="809"/>
      <c r="M16" s="809"/>
      <c r="N16" s="812"/>
    </row>
    <row r="17" spans="1:14" ht="13.5" thickBot="1" x14ac:dyDescent="0.25">
      <c r="A17" s="660">
        <f>SUM(B17:M17)</f>
        <v>100</v>
      </c>
      <c r="B17" s="660">
        <f>B19/$A$19*100</f>
        <v>7.5623139906247676</v>
      </c>
      <c r="C17" s="660">
        <f t="shared" ref="C17:M17" si="3">C19/$A$19*100</f>
        <v>10.841805836376532</v>
      </c>
      <c r="D17" s="660">
        <f t="shared" si="3"/>
        <v>7.002457097456344</v>
      </c>
      <c r="E17" s="660">
        <f t="shared" si="3"/>
        <v>8.6054521099008845</v>
      </c>
      <c r="F17" s="660">
        <f t="shared" si="3"/>
        <v>10.512666025905034</v>
      </c>
      <c r="G17" s="660">
        <f t="shared" si="3"/>
        <v>10.305809544198757</v>
      </c>
      <c r="H17" s="660">
        <f t="shared" si="3"/>
        <v>7.9848147536501211</v>
      </c>
      <c r="I17" s="660">
        <f t="shared" si="3"/>
        <v>8.4787831430241454</v>
      </c>
      <c r="J17" s="660">
        <f t="shared" si="3"/>
        <v>7.966949995103624</v>
      </c>
      <c r="K17" s="660">
        <f t="shared" si="3"/>
        <v>5.275862833485669</v>
      </c>
      <c r="L17" s="660">
        <f t="shared" si="3"/>
        <v>7.7075031989199978</v>
      </c>
      <c r="M17" s="660">
        <f t="shared" si="3"/>
        <v>7.755581471354124</v>
      </c>
      <c r="N17" s="812"/>
    </row>
    <row r="18" spans="1:14" ht="13.5" thickBot="1" x14ac:dyDescent="0.25">
      <c r="A18" s="644" t="s">
        <v>347</v>
      </c>
      <c r="B18" s="644" t="s">
        <v>1</v>
      </c>
      <c r="C18" s="644" t="s">
        <v>2</v>
      </c>
      <c r="D18" s="644" t="s">
        <v>3</v>
      </c>
      <c r="E18" s="644" t="s">
        <v>4</v>
      </c>
      <c r="F18" s="644" t="s">
        <v>5</v>
      </c>
      <c r="G18" s="644" t="s">
        <v>6</v>
      </c>
      <c r="H18" s="644" t="s">
        <v>7</v>
      </c>
      <c r="I18" s="644" t="s">
        <v>8</v>
      </c>
      <c r="J18" s="644" t="s">
        <v>9</v>
      </c>
      <c r="K18" s="644" t="s">
        <v>10</v>
      </c>
      <c r="L18" s="644" t="s">
        <v>11</v>
      </c>
      <c r="M18" s="644" t="s">
        <v>12</v>
      </c>
    </row>
    <row r="19" spans="1:14" ht="13.5" thickBot="1" x14ac:dyDescent="0.25">
      <c r="A19" s="646">
        <f>B19+C19+D19+E19+F19+G19+H19+I19+J19+K19+L19+M19</f>
        <v>605202694</v>
      </c>
      <c r="B19" s="814">
        <v>45767328</v>
      </c>
      <c r="C19" s="814">
        <v>65614901</v>
      </c>
      <c r="D19" s="814">
        <v>42379059</v>
      </c>
      <c r="E19" s="814">
        <v>52080428</v>
      </c>
      <c r="F19" s="814">
        <v>63622938</v>
      </c>
      <c r="G19" s="814">
        <v>62371037</v>
      </c>
      <c r="H19" s="814">
        <v>48324314</v>
      </c>
      <c r="I19" s="814">
        <v>51313824</v>
      </c>
      <c r="J19" s="814">
        <v>48216196</v>
      </c>
      <c r="K19" s="814">
        <v>31929664</v>
      </c>
      <c r="L19" s="814">
        <v>46646017</v>
      </c>
      <c r="M19" s="815">
        <v>46936988</v>
      </c>
      <c r="N19" s="816">
        <f>SUM(B19:M19)</f>
        <v>605202694</v>
      </c>
    </row>
    <row r="20" spans="1:14" x14ac:dyDescent="0.2">
      <c r="A20" s="600">
        <v>0.7</v>
      </c>
      <c r="B20" s="666">
        <f t="shared" ref="B20:M20" si="4">B19*$A$20</f>
        <v>32037129.599999998</v>
      </c>
      <c r="C20" s="666">
        <f t="shared" si="4"/>
        <v>45930430.699999996</v>
      </c>
      <c r="D20" s="666">
        <f t="shared" si="4"/>
        <v>29665341.299999997</v>
      </c>
      <c r="E20" s="666">
        <f t="shared" si="4"/>
        <v>36456299.599999994</v>
      </c>
      <c r="F20" s="666">
        <f t="shared" si="4"/>
        <v>44536056.599999994</v>
      </c>
      <c r="G20" s="666">
        <f t="shared" si="4"/>
        <v>43659725.899999999</v>
      </c>
      <c r="H20" s="666">
        <f t="shared" si="4"/>
        <v>33827019.799999997</v>
      </c>
      <c r="I20" s="666">
        <f t="shared" si="4"/>
        <v>35919676.799999997</v>
      </c>
      <c r="J20" s="666">
        <f t="shared" si="4"/>
        <v>33751337.199999996</v>
      </c>
      <c r="K20" s="666">
        <f t="shared" si="4"/>
        <v>22350764.799999997</v>
      </c>
      <c r="L20" s="666">
        <f t="shared" si="4"/>
        <v>32652211.899999999</v>
      </c>
      <c r="M20" s="666">
        <f t="shared" si="4"/>
        <v>32855891.599999998</v>
      </c>
      <c r="N20" s="561">
        <f>SUM(B20:M20)</f>
        <v>423641885.80000001</v>
      </c>
    </row>
    <row r="21" spans="1:14" ht="13.5" thickBot="1" x14ac:dyDescent="0.25">
      <c r="A21" s="664">
        <v>0.3</v>
      </c>
      <c r="B21" s="666">
        <f t="shared" ref="B21:M21" si="5">B19*$A$21</f>
        <v>13730198.4</v>
      </c>
      <c r="C21" s="666">
        <f t="shared" si="5"/>
        <v>19684470.300000001</v>
      </c>
      <c r="D21" s="666">
        <f t="shared" si="5"/>
        <v>12713717.699999999</v>
      </c>
      <c r="E21" s="666">
        <f t="shared" si="5"/>
        <v>15624128.399999999</v>
      </c>
      <c r="F21" s="666">
        <f t="shared" si="5"/>
        <v>19086881.399999999</v>
      </c>
      <c r="G21" s="666">
        <f t="shared" si="5"/>
        <v>18711311.099999998</v>
      </c>
      <c r="H21" s="666">
        <f t="shared" si="5"/>
        <v>14497294.199999999</v>
      </c>
      <c r="I21" s="666">
        <f t="shared" si="5"/>
        <v>15394147.199999999</v>
      </c>
      <c r="J21" s="666">
        <f t="shared" si="5"/>
        <v>14464858.799999999</v>
      </c>
      <c r="K21" s="666">
        <f t="shared" si="5"/>
        <v>9578899.1999999993</v>
      </c>
      <c r="L21" s="666">
        <f t="shared" si="5"/>
        <v>13993805.1</v>
      </c>
      <c r="M21" s="666">
        <f t="shared" si="5"/>
        <v>14081096.4</v>
      </c>
      <c r="N21" s="561">
        <f>SUM(B21:M21)</f>
        <v>181560808.19999999</v>
      </c>
    </row>
    <row r="22" spans="1:14" ht="13.5" thickBot="1" x14ac:dyDescent="0.25">
      <c r="A22" s="658" t="s">
        <v>380</v>
      </c>
      <c r="B22" s="666"/>
      <c r="C22" s="666"/>
      <c r="D22" s="666"/>
      <c r="E22" s="666"/>
      <c r="F22" s="666"/>
      <c r="G22" s="666"/>
      <c r="H22" s="666"/>
      <c r="I22" s="666"/>
      <c r="J22" s="666"/>
      <c r="K22" s="666"/>
      <c r="L22" s="666"/>
      <c r="M22" s="666"/>
      <c r="N22" s="561">
        <f>SUM(N20:N21)</f>
        <v>605202694</v>
      </c>
    </row>
    <row r="23" spans="1:14" x14ac:dyDescent="0.2">
      <c r="A23" s="666"/>
      <c r="B23" s="666"/>
      <c r="C23" s="666"/>
      <c r="D23" s="666"/>
      <c r="E23" s="666"/>
      <c r="F23" s="666"/>
      <c r="G23" s="666"/>
      <c r="H23" s="666"/>
      <c r="I23" s="666"/>
      <c r="J23" s="666"/>
      <c r="K23" s="666"/>
      <c r="L23" s="666"/>
      <c r="M23" s="666"/>
    </row>
    <row r="24" spans="1:14" x14ac:dyDescent="0.2">
      <c r="A24" s="666"/>
      <c r="B24" s="666"/>
      <c r="C24" s="666"/>
      <c r="D24" s="666"/>
      <c r="E24" s="666"/>
      <c r="F24" s="666"/>
      <c r="G24" s="666"/>
      <c r="H24" s="666"/>
      <c r="I24" s="666"/>
      <c r="J24" s="666"/>
      <c r="K24" s="666"/>
      <c r="L24" s="666"/>
      <c r="M24" s="666"/>
    </row>
    <row r="25" spans="1:14" x14ac:dyDescent="0.2">
      <c r="A25" s="666"/>
      <c r="B25" s="666"/>
      <c r="C25" s="666"/>
      <c r="D25" s="666"/>
      <c r="E25" s="666"/>
      <c r="F25" s="666"/>
      <c r="G25" s="666"/>
      <c r="H25" s="666"/>
      <c r="I25" s="666"/>
      <c r="J25" s="666"/>
      <c r="K25" s="666"/>
      <c r="L25" s="666"/>
      <c r="M25" s="666"/>
    </row>
    <row r="26" spans="1:14" x14ac:dyDescent="0.2">
      <c r="A26" s="1232" t="s">
        <v>346</v>
      </c>
      <c r="B26" s="1232"/>
      <c r="C26" s="1232"/>
      <c r="D26" s="1232"/>
      <c r="E26" s="1232"/>
      <c r="F26" s="1232"/>
      <c r="G26" s="1232"/>
      <c r="H26" s="1232"/>
      <c r="I26" s="1232"/>
      <c r="J26" s="1232"/>
      <c r="K26" s="1232"/>
      <c r="L26" s="1232"/>
      <c r="M26" s="1232"/>
    </row>
    <row r="27" spans="1:14" x14ac:dyDescent="0.2">
      <c r="A27" s="1244" t="s">
        <v>458</v>
      </c>
      <c r="B27" s="1244"/>
      <c r="C27" s="1244"/>
      <c r="D27" s="1244"/>
      <c r="E27" s="1244"/>
      <c r="F27" s="1244"/>
      <c r="G27" s="1244"/>
      <c r="H27" s="1244"/>
      <c r="I27" s="1244"/>
      <c r="J27" s="1244"/>
      <c r="K27" s="1244"/>
      <c r="L27" s="1244"/>
      <c r="M27" s="1244"/>
      <c r="N27" s="818"/>
    </row>
    <row r="28" spans="1:14" x14ac:dyDescent="0.2">
      <c r="A28" s="642"/>
      <c r="B28" s="809"/>
      <c r="C28" s="809"/>
      <c r="D28" s="809"/>
      <c r="E28" s="809"/>
      <c r="F28" s="809"/>
      <c r="G28" s="809"/>
      <c r="H28" s="809"/>
      <c r="I28" s="809"/>
      <c r="J28" s="809"/>
      <c r="K28" s="809"/>
      <c r="L28" s="809"/>
      <c r="M28" s="809"/>
    </row>
    <row r="29" spans="1:14" ht="13.5" thickBot="1" x14ac:dyDescent="0.25">
      <c r="A29" s="660">
        <f>SUM(B29:M29)</f>
        <v>100</v>
      </c>
      <c r="B29" s="660">
        <f>B31/$A$31*100</f>
        <v>7.0239820832038555</v>
      </c>
      <c r="C29" s="660">
        <f t="shared" ref="C29:M29" si="6">C31/$A$31*100</f>
        <v>16.054762844864754</v>
      </c>
      <c r="D29" s="660">
        <f t="shared" si="6"/>
        <v>6.6685033354189889</v>
      </c>
      <c r="E29" s="660">
        <f t="shared" si="6"/>
        <v>6.4808514605213103</v>
      </c>
      <c r="F29" s="660">
        <f t="shared" si="6"/>
        <v>7.1552165800353382</v>
      </c>
      <c r="G29" s="660">
        <f t="shared" si="6"/>
        <v>7.4201018026938526</v>
      </c>
      <c r="H29" s="660">
        <f t="shared" si="6"/>
        <v>7.6413336123021383</v>
      </c>
      <c r="I29" s="660">
        <f t="shared" si="6"/>
        <v>8.4643602018290522</v>
      </c>
      <c r="J29" s="660">
        <f t="shared" si="6"/>
        <v>8.4820972054322201</v>
      </c>
      <c r="K29" s="660">
        <f t="shared" si="6"/>
        <v>8.3878247363131635</v>
      </c>
      <c r="L29" s="660">
        <f t="shared" si="6"/>
        <v>8.1166391180997621</v>
      </c>
      <c r="M29" s="660">
        <f t="shared" si="6"/>
        <v>8.104327019285563</v>
      </c>
    </row>
    <row r="30" spans="1:14" ht="13.5" thickBot="1" x14ac:dyDescent="0.25">
      <c r="A30" s="644" t="s">
        <v>347</v>
      </c>
      <c r="B30" s="644" t="s">
        <v>1</v>
      </c>
      <c r="C30" s="644" t="s">
        <v>2</v>
      </c>
      <c r="D30" s="644" t="s">
        <v>3</v>
      </c>
      <c r="E30" s="644" t="s">
        <v>4</v>
      </c>
      <c r="F30" s="644" t="s">
        <v>5</v>
      </c>
      <c r="G30" s="644" t="s">
        <v>6</v>
      </c>
      <c r="H30" s="644" t="s">
        <v>7</v>
      </c>
      <c r="I30" s="644" t="s">
        <v>8</v>
      </c>
      <c r="J30" s="644" t="s">
        <v>9</v>
      </c>
      <c r="K30" s="644" t="s">
        <v>10</v>
      </c>
      <c r="L30" s="644" t="s">
        <v>11</v>
      </c>
      <c r="M30" s="644" t="s">
        <v>12</v>
      </c>
    </row>
    <row r="31" spans="1:14" ht="13.5" thickBot="1" x14ac:dyDescent="0.25">
      <c r="A31" s="646">
        <f>B31+C31+D31+E31+F31+G31+H31+I31+J31+K31+L31+M31</f>
        <v>159339202</v>
      </c>
      <c r="B31" s="814">
        <v>11191957</v>
      </c>
      <c r="C31" s="814">
        <v>25581531</v>
      </c>
      <c r="D31" s="814">
        <v>10625540</v>
      </c>
      <c r="E31" s="814">
        <v>10326537</v>
      </c>
      <c r="F31" s="814">
        <v>11401065</v>
      </c>
      <c r="G31" s="814">
        <v>11823131</v>
      </c>
      <c r="H31" s="814">
        <v>12175640</v>
      </c>
      <c r="I31" s="814">
        <v>13487044</v>
      </c>
      <c r="J31" s="814">
        <v>13515306</v>
      </c>
      <c r="K31" s="814">
        <v>13365093</v>
      </c>
      <c r="L31" s="814">
        <v>12932988</v>
      </c>
      <c r="M31" s="815">
        <v>12913370</v>
      </c>
      <c r="N31" s="816">
        <f>SUM(B31:M31)</f>
        <v>159339202</v>
      </c>
    </row>
    <row r="32" spans="1:14" ht="13.5" thickBot="1" x14ac:dyDescent="0.25">
      <c r="A32" s="652">
        <v>0.22500000000000001</v>
      </c>
      <c r="B32" s="652">
        <v>0.22500000000000001</v>
      </c>
      <c r="C32" s="652">
        <v>0.22500000000000001</v>
      </c>
      <c r="D32" s="652">
        <v>0.22500000000000001</v>
      </c>
      <c r="E32" s="652">
        <v>0.22500000000000001</v>
      </c>
      <c r="F32" s="652">
        <v>0.22500000000000001</v>
      </c>
      <c r="G32" s="652">
        <v>0.22500000000000001</v>
      </c>
      <c r="H32" s="652">
        <v>0.22500000000000001</v>
      </c>
      <c r="I32" s="652">
        <v>0.22500000000000001</v>
      </c>
      <c r="J32" s="652">
        <v>0.22500000000000001</v>
      </c>
      <c r="K32" s="652">
        <v>0.22500000000000001</v>
      </c>
      <c r="L32" s="652">
        <v>0.22500000000000001</v>
      </c>
      <c r="M32" s="652">
        <v>0.22500000000000001</v>
      </c>
      <c r="N32" s="665"/>
    </row>
    <row r="33" spans="1:14" ht="13.5" thickBot="1" x14ac:dyDescent="0.25">
      <c r="A33" s="646">
        <f t="shared" ref="A33:M33" si="7">A31*A32</f>
        <v>35851320.450000003</v>
      </c>
      <c r="B33" s="646">
        <f t="shared" si="7"/>
        <v>2518190.3250000002</v>
      </c>
      <c r="C33" s="646">
        <f t="shared" si="7"/>
        <v>5755844.4750000006</v>
      </c>
      <c r="D33" s="646">
        <f t="shared" si="7"/>
        <v>2390746.5</v>
      </c>
      <c r="E33" s="646">
        <f t="shared" si="7"/>
        <v>2323470.8250000002</v>
      </c>
      <c r="F33" s="646">
        <f t="shared" si="7"/>
        <v>2565239.625</v>
      </c>
      <c r="G33" s="646">
        <f t="shared" si="7"/>
        <v>2660204.4750000001</v>
      </c>
      <c r="H33" s="646">
        <f t="shared" si="7"/>
        <v>2739519</v>
      </c>
      <c r="I33" s="646">
        <f t="shared" si="7"/>
        <v>3034584.9</v>
      </c>
      <c r="J33" s="646">
        <f t="shared" si="7"/>
        <v>3040943.85</v>
      </c>
      <c r="K33" s="646">
        <f t="shared" si="7"/>
        <v>3007145.9250000003</v>
      </c>
      <c r="L33" s="646">
        <f t="shared" si="7"/>
        <v>2909922.3000000003</v>
      </c>
      <c r="M33" s="819">
        <f t="shared" si="7"/>
        <v>2905508.25</v>
      </c>
      <c r="N33" s="816">
        <f t="shared" ref="N33" si="8">SUM(B33:M33)</f>
        <v>35851320.450000003</v>
      </c>
    </row>
    <row r="34" spans="1:14" ht="13.5" thickBot="1" x14ac:dyDescent="0.25">
      <c r="A34" s="658" t="s">
        <v>380</v>
      </c>
      <c r="B34" s="656"/>
      <c r="C34" s="656"/>
      <c r="D34" s="656"/>
      <c r="E34" s="656"/>
      <c r="F34" s="656"/>
      <c r="G34" s="656"/>
      <c r="H34" s="656"/>
      <c r="I34" s="656"/>
      <c r="J34" s="656"/>
      <c r="K34" s="656"/>
      <c r="L34" s="656"/>
      <c r="M34" s="656"/>
    </row>
    <row r="35" spans="1:14" x14ac:dyDescent="0.2">
      <c r="A35" s="1232" t="s">
        <v>346</v>
      </c>
      <c r="B35" s="1232"/>
      <c r="C35" s="1232"/>
      <c r="D35" s="1232"/>
      <c r="E35" s="1232"/>
      <c r="F35" s="1232"/>
      <c r="G35" s="1232"/>
      <c r="H35" s="1232"/>
      <c r="I35" s="1232"/>
      <c r="J35" s="1232"/>
      <c r="K35" s="1232"/>
      <c r="L35" s="1232"/>
      <c r="M35" s="1232"/>
    </row>
    <row r="36" spans="1:14" x14ac:dyDescent="0.2">
      <c r="A36" s="1244" t="s">
        <v>473</v>
      </c>
      <c r="B36" s="1244"/>
      <c r="C36" s="1244"/>
      <c r="D36" s="1244"/>
      <c r="E36" s="1244"/>
      <c r="F36" s="1244"/>
      <c r="G36" s="1244"/>
      <c r="H36" s="1244"/>
      <c r="I36" s="1244"/>
      <c r="J36" s="1244"/>
      <c r="K36" s="1244"/>
      <c r="L36" s="1244"/>
      <c r="M36" s="1244"/>
      <c r="N36" s="818"/>
    </row>
    <row r="37" spans="1:14" x14ac:dyDescent="0.2">
      <c r="A37" s="642"/>
      <c r="B37" s="809"/>
      <c r="C37" s="809"/>
      <c r="D37" s="809"/>
      <c r="E37" s="809"/>
      <c r="F37" s="809"/>
      <c r="G37" s="809"/>
      <c r="H37" s="809"/>
      <c r="I37" s="809"/>
      <c r="J37" s="809"/>
      <c r="K37" s="809"/>
      <c r="L37" s="809"/>
      <c r="M37" s="809"/>
    </row>
    <row r="38" spans="1:14" ht="13.5" thickBot="1" x14ac:dyDescent="0.25">
      <c r="A38" s="660">
        <f>SUM(B38:M38)</f>
        <v>100</v>
      </c>
      <c r="B38" s="660">
        <f>B40/$A$40*100</f>
        <v>7.7790803360325551</v>
      </c>
      <c r="C38" s="660">
        <f t="shared" ref="C38:M38" si="9">C40/$A$40*100</f>
        <v>8.5529215093278879</v>
      </c>
      <c r="D38" s="660">
        <f t="shared" si="9"/>
        <v>8.3271518575249903</v>
      </c>
      <c r="E38" s="660">
        <f t="shared" si="9"/>
        <v>7.7591704813273639</v>
      </c>
      <c r="F38" s="660">
        <f t="shared" si="9"/>
        <v>8.5494969600683106</v>
      </c>
      <c r="G38" s="660">
        <f t="shared" si="9"/>
        <v>8.2512803676105371</v>
      </c>
      <c r="H38" s="660">
        <f t="shared" si="9"/>
        <v>8.4233080222976202</v>
      </c>
      <c r="I38" s="660">
        <f t="shared" si="9"/>
        <v>8.4183028169981569</v>
      </c>
      <c r="J38" s="660">
        <f t="shared" si="9"/>
        <v>8.7602506877325617</v>
      </c>
      <c r="K38" s="660">
        <f t="shared" si="9"/>
        <v>8.6833256326183559</v>
      </c>
      <c r="L38" s="660">
        <f t="shared" si="9"/>
        <v>8.1153442564207303</v>
      </c>
      <c r="M38" s="660">
        <f t="shared" si="9"/>
        <v>8.3803670720409293</v>
      </c>
    </row>
    <row r="39" spans="1:14" ht="13.5" thickBot="1" x14ac:dyDescent="0.25">
      <c r="A39" s="644" t="s">
        <v>347</v>
      </c>
      <c r="B39" s="644" t="s">
        <v>1</v>
      </c>
      <c r="C39" s="644" t="s">
        <v>2</v>
      </c>
      <c r="D39" s="644" t="s">
        <v>3</v>
      </c>
      <c r="E39" s="644" t="s">
        <v>4</v>
      </c>
      <c r="F39" s="644" t="s">
        <v>5</v>
      </c>
      <c r="G39" s="644" t="s">
        <v>6</v>
      </c>
      <c r="H39" s="644" t="s">
        <v>7</v>
      </c>
      <c r="I39" s="644" t="s">
        <v>8</v>
      </c>
      <c r="J39" s="644" t="s">
        <v>9</v>
      </c>
      <c r="K39" s="644" t="s">
        <v>10</v>
      </c>
      <c r="L39" s="644" t="s">
        <v>11</v>
      </c>
      <c r="M39" s="644" t="s">
        <v>12</v>
      </c>
    </row>
    <row r="40" spans="1:14" ht="13.5" thickBot="1" x14ac:dyDescent="0.25">
      <c r="A40" s="646">
        <f>B40+C40+D40+E40+F40+G40+H40+I40+J40+K40+L40+M40</f>
        <v>324422257</v>
      </c>
      <c r="B40" s="820">
        <v>25237068</v>
      </c>
      <c r="C40" s="820">
        <v>27747581</v>
      </c>
      <c r="D40" s="820">
        <v>27015134</v>
      </c>
      <c r="E40" s="820">
        <v>25172476</v>
      </c>
      <c r="F40" s="820">
        <v>27736471</v>
      </c>
      <c r="G40" s="820">
        <v>26768990</v>
      </c>
      <c r="H40" s="820">
        <v>27327086</v>
      </c>
      <c r="I40" s="820">
        <v>27310848</v>
      </c>
      <c r="J40" s="820">
        <v>28420203</v>
      </c>
      <c r="K40" s="820">
        <v>28170641</v>
      </c>
      <c r="L40" s="820">
        <v>26327983</v>
      </c>
      <c r="M40" s="820">
        <v>27187776</v>
      </c>
      <c r="N40" s="679">
        <f>SUM(B40:M40)</f>
        <v>324422257</v>
      </c>
    </row>
    <row r="41" spans="1:14" ht="13.5" thickBot="1" x14ac:dyDescent="0.25">
      <c r="A41" s="652">
        <v>0.22500000000000001</v>
      </c>
      <c r="B41" s="652">
        <v>0.22500000000000001</v>
      </c>
      <c r="C41" s="652">
        <v>0.22500000000000001</v>
      </c>
      <c r="D41" s="652">
        <v>0.22500000000000001</v>
      </c>
      <c r="E41" s="652">
        <v>0.22500000000000001</v>
      </c>
      <c r="F41" s="652">
        <v>0.22500000000000001</v>
      </c>
      <c r="G41" s="652">
        <v>0.22500000000000001</v>
      </c>
      <c r="H41" s="652">
        <v>0.22500000000000001</v>
      </c>
      <c r="I41" s="652">
        <v>0.22500000000000001</v>
      </c>
      <c r="J41" s="652">
        <v>0.22500000000000001</v>
      </c>
      <c r="K41" s="652">
        <v>0.22500000000000001</v>
      </c>
      <c r="L41" s="652">
        <v>0.22500000000000001</v>
      </c>
      <c r="M41" s="652">
        <v>0.22500000000000001</v>
      </c>
      <c r="N41" s="561"/>
    </row>
    <row r="42" spans="1:14" ht="13.5" thickBot="1" x14ac:dyDescent="0.25">
      <c r="A42" s="646">
        <f t="shared" ref="A42:M42" si="10">A40*A41</f>
        <v>72995007.825000003</v>
      </c>
      <c r="B42" s="646">
        <f t="shared" si="10"/>
        <v>5678340.2999999998</v>
      </c>
      <c r="C42" s="646">
        <f t="shared" si="10"/>
        <v>6243205.7250000006</v>
      </c>
      <c r="D42" s="646">
        <f t="shared" si="10"/>
        <v>6078405.1500000004</v>
      </c>
      <c r="E42" s="646">
        <f t="shared" si="10"/>
        <v>5663807.1000000006</v>
      </c>
      <c r="F42" s="646">
        <f t="shared" si="10"/>
        <v>6240705.9750000006</v>
      </c>
      <c r="G42" s="646">
        <f t="shared" si="10"/>
        <v>6023022.75</v>
      </c>
      <c r="H42" s="646">
        <f t="shared" si="10"/>
        <v>6148594.3500000006</v>
      </c>
      <c r="I42" s="646">
        <f t="shared" si="10"/>
        <v>6144940.7999999998</v>
      </c>
      <c r="J42" s="646">
        <f t="shared" si="10"/>
        <v>6394545.6749999998</v>
      </c>
      <c r="K42" s="646">
        <f t="shared" si="10"/>
        <v>6338394.2250000006</v>
      </c>
      <c r="L42" s="646">
        <f t="shared" si="10"/>
        <v>5923796.1749999998</v>
      </c>
      <c r="M42" s="646">
        <f t="shared" si="10"/>
        <v>6117249.6000000006</v>
      </c>
      <c r="N42" s="679">
        <f t="shared" ref="N42" si="11">SUM(B42:M42)</f>
        <v>72995007.824999988</v>
      </c>
    </row>
    <row r="43" spans="1:14" ht="12.75" customHeight="1" thickBot="1" x14ac:dyDescent="0.25">
      <c r="A43" s="658" t="s">
        <v>380</v>
      </c>
    </row>
    <row r="44" spans="1:14" x14ac:dyDescent="0.2">
      <c r="A44" s="1232" t="s">
        <v>346</v>
      </c>
      <c r="B44" s="1232"/>
      <c r="C44" s="1232"/>
      <c r="D44" s="1232"/>
      <c r="E44" s="1232"/>
      <c r="F44" s="1232"/>
      <c r="G44" s="1232"/>
      <c r="H44" s="1232"/>
      <c r="I44" s="1232"/>
      <c r="J44" s="1232"/>
      <c r="K44" s="1232"/>
      <c r="L44" s="1232"/>
      <c r="M44" s="1232"/>
      <c r="N44" s="812"/>
    </row>
    <row r="45" spans="1:14" x14ac:dyDescent="0.2">
      <c r="A45" s="1244" t="s">
        <v>474</v>
      </c>
      <c r="B45" s="1244"/>
      <c r="C45" s="1244"/>
      <c r="D45" s="1244"/>
      <c r="E45" s="1244"/>
      <c r="F45" s="1244"/>
      <c r="G45" s="1244"/>
      <c r="H45" s="1244"/>
      <c r="I45" s="1244"/>
      <c r="J45" s="1244"/>
      <c r="K45" s="1244"/>
      <c r="L45" s="1244"/>
      <c r="M45" s="1244"/>
      <c r="N45" s="813"/>
    </row>
    <row r="46" spans="1:14" x14ac:dyDescent="0.2">
      <c r="A46" s="642"/>
      <c r="B46" s="809"/>
      <c r="C46" s="809"/>
      <c r="D46" s="809"/>
      <c r="E46" s="809"/>
      <c r="F46" s="809"/>
      <c r="G46" s="809"/>
      <c r="H46" s="809"/>
      <c r="I46" s="809"/>
      <c r="J46" s="809"/>
      <c r="K46" s="809"/>
      <c r="L46" s="809"/>
      <c r="M46" s="809"/>
      <c r="N46" s="812"/>
    </row>
    <row r="47" spans="1:14" ht="13.5" thickBot="1" x14ac:dyDescent="0.25">
      <c r="A47" s="660">
        <f>SUM(B47:M47)</f>
        <v>100.00000000000001</v>
      </c>
      <c r="B47" s="660">
        <f>B49/$A$49*100</f>
        <v>12.834652867432156</v>
      </c>
      <c r="C47" s="660">
        <f t="shared" ref="C47:M47" si="12">C49/$A$49*100</f>
        <v>4.1366927883890812</v>
      </c>
      <c r="D47" s="660">
        <f t="shared" si="12"/>
        <v>4.1366927883890812</v>
      </c>
      <c r="E47" s="660">
        <f t="shared" si="12"/>
        <v>18.097556543258769</v>
      </c>
      <c r="F47" s="660">
        <f t="shared" si="12"/>
        <v>4.1366927883890812</v>
      </c>
      <c r="G47" s="660">
        <f t="shared" si="12"/>
        <v>4.1366927883890812</v>
      </c>
      <c r="H47" s="660">
        <f t="shared" si="12"/>
        <v>22.347899677819097</v>
      </c>
      <c r="I47" s="660">
        <f t="shared" si="12"/>
        <v>4.1366927883890812</v>
      </c>
      <c r="J47" s="660">
        <f t="shared" si="12"/>
        <v>4.1366927883890812</v>
      </c>
      <c r="K47" s="660">
        <f t="shared" si="12"/>
        <v>13.626348604377329</v>
      </c>
      <c r="L47" s="660">
        <f t="shared" si="12"/>
        <v>4.1366927883890812</v>
      </c>
      <c r="M47" s="660">
        <f t="shared" si="12"/>
        <v>4.1366927883890812</v>
      </c>
      <c r="N47" s="812"/>
    </row>
    <row r="48" spans="1:14" ht="13.5" thickBot="1" x14ac:dyDescent="0.25">
      <c r="A48" s="644" t="s">
        <v>347</v>
      </c>
      <c r="B48" s="644" t="s">
        <v>1</v>
      </c>
      <c r="C48" s="644" t="s">
        <v>2</v>
      </c>
      <c r="D48" s="644" t="s">
        <v>3</v>
      </c>
      <c r="E48" s="644" t="s">
        <v>4</v>
      </c>
      <c r="F48" s="644" t="s">
        <v>5</v>
      </c>
      <c r="G48" s="644" t="s">
        <v>6</v>
      </c>
      <c r="H48" s="644" t="s">
        <v>7</v>
      </c>
      <c r="I48" s="644" t="s">
        <v>8</v>
      </c>
      <c r="J48" s="644" t="s">
        <v>9</v>
      </c>
      <c r="K48" s="644" t="s">
        <v>10</v>
      </c>
      <c r="L48" s="644" t="s">
        <v>11</v>
      </c>
      <c r="M48" s="644" t="s">
        <v>12</v>
      </c>
    </row>
    <row r="49" spans="1:15" ht="13.5" thickBot="1" x14ac:dyDescent="0.25">
      <c r="A49" s="646">
        <f>B49+C49+D49+E49+F49+G49+H49+I49+J49+K49+L49+M49</f>
        <v>408537251</v>
      </c>
      <c r="B49" s="814">
        <v>52434338</v>
      </c>
      <c r="C49" s="814">
        <v>16899931</v>
      </c>
      <c r="D49" s="814">
        <v>16899931</v>
      </c>
      <c r="E49" s="814">
        <v>73935260</v>
      </c>
      <c r="F49" s="814">
        <v>16899931</v>
      </c>
      <c r="G49" s="814">
        <v>16899931</v>
      </c>
      <c r="H49" s="814">
        <v>91299495</v>
      </c>
      <c r="I49" s="814">
        <v>16899931</v>
      </c>
      <c r="J49" s="814">
        <v>16899931</v>
      </c>
      <c r="K49" s="814">
        <v>55668710</v>
      </c>
      <c r="L49" s="814">
        <v>16899931</v>
      </c>
      <c r="M49" s="815">
        <v>16899931</v>
      </c>
      <c r="N49" s="679">
        <f>SUM(B49:M49)</f>
        <v>408537251</v>
      </c>
    </row>
    <row r="50" spans="1:15" ht="13.5" thickBot="1" x14ac:dyDescent="0.25">
      <c r="A50" s="652">
        <v>0.22500000000000001</v>
      </c>
      <c r="B50" s="652">
        <v>0.22500000000000001</v>
      </c>
      <c r="C50" s="652">
        <v>0.22500000000000001</v>
      </c>
      <c r="D50" s="652">
        <v>0.22500000000000001</v>
      </c>
      <c r="E50" s="652">
        <v>0.22500000000000001</v>
      </c>
      <c r="F50" s="652">
        <v>0.22500000000000001</v>
      </c>
      <c r="G50" s="652">
        <v>0.22500000000000001</v>
      </c>
      <c r="H50" s="652">
        <v>0.22500000000000001</v>
      </c>
      <c r="I50" s="652">
        <v>0.22500000000000001</v>
      </c>
      <c r="J50" s="652">
        <v>0.22500000000000001</v>
      </c>
      <c r="K50" s="652">
        <v>0.22500000000000001</v>
      </c>
      <c r="L50" s="652">
        <v>0.22500000000000001</v>
      </c>
      <c r="M50" s="652">
        <v>0.22500000000000001</v>
      </c>
      <c r="N50" s="561"/>
    </row>
    <row r="51" spans="1:15" ht="13.5" thickBot="1" x14ac:dyDescent="0.25">
      <c r="A51" s="646">
        <f>A49*A50</f>
        <v>91920881.475000009</v>
      </c>
      <c r="B51" s="646">
        <f t="shared" ref="B51:M51" si="13">B49*B50</f>
        <v>11797726.050000001</v>
      </c>
      <c r="C51" s="646">
        <f t="shared" si="13"/>
        <v>3802484.4750000001</v>
      </c>
      <c r="D51" s="646">
        <f t="shared" si="13"/>
        <v>3802484.4750000001</v>
      </c>
      <c r="E51" s="646">
        <f t="shared" si="13"/>
        <v>16635433.5</v>
      </c>
      <c r="F51" s="646">
        <f t="shared" si="13"/>
        <v>3802484.4750000001</v>
      </c>
      <c r="G51" s="646">
        <f t="shared" si="13"/>
        <v>3802484.4750000001</v>
      </c>
      <c r="H51" s="646">
        <f t="shared" si="13"/>
        <v>20542386.375</v>
      </c>
      <c r="I51" s="646">
        <f t="shared" si="13"/>
        <v>3802484.4750000001</v>
      </c>
      <c r="J51" s="646">
        <f t="shared" si="13"/>
        <v>3802484.4750000001</v>
      </c>
      <c r="K51" s="646">
        <f t="shared" si="13"/>
        <v>12525459.75</v>
      </c>
      <c r="L51" s="646">
        <f t="shared" si="13"/>
        <v>3802484.4750000001</v>
      </c>
      <c r="M51" s="819">
        <f t="shared" si="13"/>
        <v>3802484.4750000001</v>
      </c>
      <c r="N51" s="679">
        <f t="shared" ref="N51" si="14">SUM(B51:M51)</f>
        <v>91920881.474999979</v>
      </c>
    </row>
    <row r="52" spans="1:15" ht="13.5" thickBot="1" x14ac:dyDescent="0.25">
      <c r="A52" s="658" t="s">
        <v>380</v>
      </c>
    </row>
    <row r="53" spans="1:15" x14ac:dyDescent="0.2">
      <c r="A53" s="1232" t="s">
        <v>346</v>
      </c>
      <c r="B53" s="1232"/>
      <c r="C53" s="1232"/>
      <c r="D53" s="1232"/>
      <c r="E53" s="1232"/>
      <c r="F53" s="1232"/>
      <c r="G53" s="1232"/>
      <c r="H53" s="1232"/>
      <c r="I53" s="1232"/>
      <c r="J53" s="1232"/>
      <c r="K53" s="1232"/>
      <c r="L53" s="1232"/>
      <c r="M53" s="1232"/>
      <c r="N53" s="812"/>
    </row>
    <row r="54" spans="1:15" x14ac:dyDescent="0.2">
      <c r="A54" s="1245" t="s">
        <v>461</v>
      </c>
      <c r="B54" s="1245"/>
      <c r="C54" s="1245"/>
      <c r="D54" s="1245"/>
      <c r="E54" s="1245"/>
      <c r="F54" s="1245"/>
      <c r="G54" s="1245"/>
      <c r="H54" s="1245"/>
      <c r="I54" s="1245"/>
      <c r="J54" s="1245"/>
      <c r="K54" s="1245"/>
      <c r="L54" s="1245"/>
      <c r="M54" s="1245"/>
      <c r="N54" s="813"/>
    </row>
    <row r="55" spans="1:15" x14ac:dyDescent="0.2">
      <c r="A55" s="642"/>
      <c r="B55" s="809"/>
      <c r="C55" s="809"/>
      <c r="D55" s="809"/>
      <c r="E55" s="809"/>
      <c r="F55" s="809"/>
      <c r="G55" s="809"/>
      <c r="H55" s="809"/>
      <c r="I55" s="809"/>
      <c r="J55" s="809"/>
      <c r="K55" s="809"/>
      <c r="L55" s="809"/>
      <c r="M55" s="809"/>
      <c r="N55" s="812"/>
    </row>
    <row r="56" spans="1:15" ht="13.5" thickBot="1" x14ac:dyDescent="0.25">
      <c r="A56" s="660">
        <f>SUM(B56:M56)</f>
        <v>100.00000000000001</v>
      </c>
      <c r="B56" s="660">
        <f>B58/$A$58*100</f>
        <v>7.2284029839429049</v>
      </c>
      <c r="C56" s="660">
        <f t="shared" ref="C56:M56" si="15">C58/$A$58*100</f>
        <v>8.1559786716878531</v>
      </c>
      <c r="D56" s="660">
        <f t="shared" si="15"/>
        <v>7.7479701599466031</v>
      </c>
      <c r="E56" s="660">
        <f t="shared" si="15"/>
        <v>8.6096976590064607</v>
      </c>
      <c r="F56" s="660">
        <f t="shared" si="15"/>
        <v>8.5030398826592979</v>
      </c>
      <c r="G56" s="660">
        <f t="shared" si="15"/>
        <v>8.7888151726581825</v>
      </c>
      <c r="H56" s="660">
        <f t="shared" si="15"/>
        <v>8.3692944411684795</v>
      </c>
      <c r="I56" s="660">
        <f t="shared" si="15"/>
        <v>8.7359941063955819</v>
      </c>
      <c r="J56" s="660">
        <f t="shared" si="15"/>
        <v>8.6703063395735125</v>
      </c>
      <c r="K56" s="660">
        <f t="shared" si="15"/>
        <v>8.2429979937793565</v>
      </c>
      <c r="L56" s="660">
        <f t="shared" si="15"/>
        <v>8.6259503448071744</v>
      </c>
      <c r="M56" s="660">
        <f t="shared" si="15"/>
        <v>8.3215522443745957</v>
      </c>
      <c r="N56" s="812"/>
    </row>
    <row r="57" spans="1:15" ht="13.5" thickBot="1" x14ac:dyDescent="0.25">
      <c r="A57" s="644" t="s">
        <v>347</v>
      </c>
      <c r="B57" s="644" t="s">
        <v>1</v>
      </c>
      <c r="C57" s="644" t="s">
        <v>2</v>
      </c>
      <c r="D57" s="644" t="s">
        <v>3</v>
      </c>
      <c r="E57" s="644" t="s">
        <v>4</v>
      </c>
      <c r="F57" s="644" t="s">
        <v>5</v>
      </c>
      <c r="G57" s="644" t="s">
        <v>6</v>
      </c>
      <c r="H57" s="644" t="s">
        <v>7</v>
      </c>
      <c r="I57" s="644" t="s">
        <v>8</v>
      </c>
      <c r="J57" s="644" t="s">
        <v>9</v>
      </c>
      <c r="K57" s="644" t="s">
        <v>10</v>
      </c>
      <c r="L57" s="644" t="s">
        <v>11</v>
      </c>
      <c r="M57" s="644" t="s">
        <v>12</v>
      </c>
    </row>
    <row r="58" spans="1:15" ht="13.5" thickBot="1" x14ac:dyDescent="0.25">
      <c r="A58" s="646">
        <f>B58+C58+D58+E58+F58+G58+H58+I58+J58+K58+L58+M58</f>
        <v>461283759</v>
      </c>
      <c r="B58" s="671">
        <v>33343449</v>
      </c>
      <c r="C58" s="671">
        <v>37622205</v>
      </c>
      <c r="D58" s="671">
        <v>35740128</v>
      </c>
      <c r="E58" s="671">
        <v>39715137</v>
      </c>
      <c r="F58" s="671">
        <v>39223142</v>
      </c>
      <c r="G58" s="671">
        <v>40541377</v>
      </c>
      <c r="H58" s="671">
        <v>38606196</v>
      </c>
      <c r="I58" s="671">
        <v>40297722</v>
      </c>
      <c r="J58" s="671">
        <v>39994715</v>
      </c>
      <c r="K58" s="671">
        <v>38023611</v>
      </c>
      <c r="L58" s="671">
        <v>39790108</v>
      </c>
      <c r="M58" s="671">
        <v>38385969</v>
      </c>
      <c r="N58" s="816">
        <f>SUM(B58:M58)</f>
        <v>461283759</v>
      </c>
      <c r="O58" s="665"/>
    </row>
    <row r="59" spans="1:15" ht="13.5" thickBot="1" x14ac:dyDescent="0.25">
      <c r="A59" s="652">
        <v>0.22500000000000001</v>
      </c>
      <c r="B59" s="652">
        <v>0.22500000000000001</v>
      </c>
      <c r="C59" s="652">
        <v>0.22500000000000001</v>
      </c>
      <c r="D59" s="652">
        <v>0.22500000000000001</v>
      </c>
      <c r="E59" s="652">
        <v>0.22500000000000001</v>
      </c>
      <c r="F59" s="652">
        <v>0.22500000000000001</v>
      </c>
      <c r="G59" s="652">
        <v>0.22500000000000001</v>
      </c>
      <c r="H59" s="652">
        <v>0.22500000000000001</v>
      </c>
      <c r="I59" s="652">
        <v>0.22500000000000001</v>
      </c>
      <c r="J59" s="652">
        <v>0.22500000000000001</v>
      </c>
      <c r="K59" s="652">
        <v>0.22500000000000001</v>
      </c>
      <c r="L59" s="652">
        <v>0.22500000000000001</v>
      </c>
      <c r="M59" s="652">
        <v>0.22500000000000001</v>
      </c>
      <c r="N59" s="665"/>
    </row>
    <row r="60" spans="1:15" ht="13.5" thickBot="1" x14ac:dyDescent="0.25">
      <c r="A60" s="646">
        <f>A58*A59</f>
        <v>103788845.77500001</v>
      </c>
      <c r="B60" s="646">
        <f t="shared" ref="B60:H60" si="16">B58*B59</f>
        <v>7502276.0250000004</v>
      </c>
      <c r="C60" s="646">
        <f t="shared" si="16"/>
        <v>8464996.125</v>
      </c>
      <c r="D60" s="646">
        <f t="shared" si="16"/>
        <v>8041528.7999999998</v>
      </c>
      <c r="E60" s="646">
        <f t="shared" si="16"/>
        <v>8935905.8250000011</v>
      </c>
      <c r="F60" s="646">
        <f t="shared" si="16"/>
        <v>8825206.9500000011</v>
      </c>
      <c r="G60" s="646">
        <f t="shared" si="16"/>
        <v>9121809.8250000011</v>
      </c>
      <c r="H60" s="646">
        <f t="shared" si="16"/>
        <v>8686394.0999999996</v>
      </c>
      <c r="I60" s="646">
        <f>I58*I59</f>
        <v>9066987.4500000011</v>
      </c>
      <c r="J60" s="646">
        <f>J58*J59</f>
        <v>8998810.875</v>
      </c>
      <c r="K60" s="646">
        <f>K58*K59</f>
        <v>8555312.4749999996</v>
      </c>
      <c r="L60" s="646">
        <f>L58*L59</f>
        <v>8952774.3000000007</v>
      </c>
      <c r="M60" s="819">
        <f>M58*M59</f>
        <v>8636843.0250000004</v>
      </c>
      <c r="N60" s="816">
        <f>SUM(B60:M60)</f>
        <v>103788845.77500001</v>
      </c>
    </row>
    <row r="61" spans="1:15" ht="13.5" thickBot="1" x14ac:dyDescent="0.25">
      <c r="A61" s="658" t="s">
        <v>380</v>
      </c>
    </row>
    <row r="62" spans="1:15" x14ac:dyDescent="0.2">
      <c r="A62" s="1232" t="s">
        <v>346</v>
      </c>
      <c r="B62" s="1232"/>
      <c r="C62" s="1232"/>
      <c r="D62" s="1232"/>
      <c r="E62" s="1232"/>
      <c r="F62" s="1232"/>
      <c r="G62" s="1232"/>
      <c r="H62" s="1232"/>
      <c r="I62" s="1232"/>
      <c r="J62" s="1232"/>
      <c r="K62" s="1232"/>
      <c r="L62" s="1232"/>
      <c r="M62" s="1232"/>
    </row>
    <row r="63" spans="1:15" x14ac:dyDescent="0.2">
      <c r="A63" s="1244" t="s">
        <v>475</v>
      </c>
      <c r="B63" s="1244"/>
      <c r="C63" s="1244"/>
      <c r="D63" s="1244"/>
      <c r="E63" s="1244"/>
      <c r="F63" s="1244"/>
      <c r="G63" s="1244"/>
      <c r="H63" s="1244"/>
      <c r="I63" s="1244"/>
      <c r="J63" s="1244"/>
      <c r="K63" s="1244"/>
      <c r="L63" s="1244"/>
      <c r="M63" s="1244"/>
    </row>
    <row r="64" spans="1:15" x14ac:dyDescent="0.2">
      <c r="A64" s="642"/>
      <c r="B64" s="809"/>
      <c r="C64" s="809"/>
      <c r="D64" s="809"/>
      <c r="E64" s="809"/>
      <c r="F64" s="809"/>
      <c r="G64" s="809"/>
      <c r="H64" s="809"/>
      <c r="I64" s="809"/>
      <c r="J64" s="809"/>
      <c r="K64" s="809"/>
      <c r="L64" s="809"/>
      <c r="M64" s="809"/>
    </row>
    <row r="65" spans="1:14" ht="13.5" thickBot="1" x14ac:dyDescent="0.25">
      <c r="A65" s="660">
        <f>SUM(B65:M65)</f>
        <v>100</v>
      </c>
      <c r="B65" s="660">
        <f>B67/$A$67*100</f>
        <v>9.6233603508077863</v>
      </c>
      <c r="C65" s="660">
        <f t="shared" ref="C65:M65" si="17">C67/$A$67*100</f>
        <v>10.748288592980021</v>
      </c>
      <c r="D65" s="660">
        <f t="shared" si="17"/>
        <v>8.3416216676220181</v>
      </c>
      <c r="E65" s="660">
        <f t="shared" si="17"/>
        <v>7.7418848363468991</v>
      </c>
      <c r="F65" s="660">
        <f t="shared" si="17"/>
        <v>8.2777873027973818</v>
      </c>
      <c r="G65" s="660">
        <f t="shared" si="17"/>
        <v>7.1895102651215463</v>
      </c>
      <c r="H65" s="660">
        <f t="shared" si="17"/>
        <v>7.7887313789070571</v>
      </c>
      <c r="I65" s="660">
        <f t="shared" si="17"/>
        <v>8.0322293751536051</v>
      </c>
      <c r="J65" s="660">
        <f t="shared" si="17"/>
        <v>7.8927197131717435</v>
      </c>
      <c r="K65" s="660">
        <f t="shared" si="17"/>
        <v>8.0862827390428791</v>
      </c>
      <c r="L65" s="660">
        <f t="shared" si="17"/>
        <v>7.8293995965561178</v>
      </c>
      <c r="M65" s="660">
        <f t="shared" si="17"/>
        <v>8.4481841814929446</v>
      </c>
    </row>
    <row r="66" spans="1:14" ht="13.5" thickBot="1" x14ac:dyDescent="0.25">
      <c r="A66" s="644" t="s">
        <v>347</v>
      </c>
      <c r="B66" s="644" t="s">
        <v>1</v>
      </c>
      <c r="C66" s="644" t="s">
        <v>2</v>
      </c>
      <c r="D66" s="644" t="s">
        <v>3</v>
      </c>
      <c r="E66" s="644" t="s">
        <v>4</v>
      </c>
      <c r="F66" s="644" t="s">
        <v>5</v>
      </c>
      <c r="G66" s="644" t="s">
        <v>6</v>
      </c>
      <c r="H66" s="644" t="s">
        <v>7</v>
      </c>
      <c r="I66" s="644" t="s">
        <v>8</v>
      </c>
      <c r="J66" s="644" t="s">
        <v>9</v>
      </c>
      <c r="K66" s="644" t="s">
        <v>10</v>
      </c>
      <c r="L66" s="644" t="s">
        <v>11</v>
      </c>
      <c r="M66" s="644" t="s">
        <v>12</v>
      </c>
    </row>
    <row r="67" spans="1:14" ht="13.5" thickBot="1" x14ac:dyDescent="0.25">
      <c r="A67" s="646">
        <f>B67+C67+D67+E67+F67+G67+H67+I67+J67+K67+L67+M67</f>
        <v>68060519</v>
      </c>
      <c r="B67" s="821">
        <v>6549709</v>
      </c>
      <c r="C67" s="821">
        <v>7315341</v>
      </c>
      <c r="D67" s="821">
        <v>5677351</v>
      </c>
      <c r="E67" s="821">
        <v>5269167</v>
      </c>
      <c r="F67" s="821">
        <v>5633905</v>
      </c>
      <c r="G67" s="821">
        <v>4893218</v>
      </c>
      <c r="H67" s="821">
        <v>5301051</v>
      </c>
      <c r="I67" s="821">
        <v>5466777</v>
      </c>
      <c r="J67" s="821">
        <v>5371826</v>
      </c>
      <c r="K67" s="821">
        <v>5503566</v>
      </c>
      <c r="L67" s="821">
        <v>5328730</v>
      </c>
      <c r="M67" s="822">
        <v>5749878</v>
      </c>
      <c r="N67" s="679">
        <f>SUM(B67:M67)</f>
        <v>68060519</v>
      </c>
    </row>
    <row r="68" spans="1:14" ht="13.5" thickBot="1" x14ac:dyDescent="0.25">
      <c r="A68" s="652">
        <v>0.22500000000000001</v>
      </c>
      <c r="B68" s="652">
        <v>0.22500000000000001</v>
      </c>
      <c r="C68" s="652">
        <v>0.22500000000000001</v>
      </c>
      <c r="D68" s="652">
        <v>0.22500000000000001</v>
      </c>
      <c r="E68" s="652">
        <v>0.22500000000000001</v>
      </c>
      <c r="F68" s="652">
        <v>0.22500000000000001</v>
      </c>
      <c r="G68" s="652">
        <v>0.22500000000000001</v>
      </c>
      <c r="H68" s="652">
        <v>0.22500000000000001</v>
      </c>
      <c r="I68" s="652">
        <v>0.22500000000000001</v>
      </c>
      <c r="J68" s="652">
        <v>0.22500000000000001</v>
      </c>
      <c r="K68" s="652">
        <v>0.22500000000000001</v>
      </c>
      <c r="L68" s="652">
        <v>0.22500000000000001</v>
      </c>
      <c r="M68" s="652">
        <v>0.22500000000000001</v>
      </c>
      <c r="N68" s="561"/>
    </row>
    <row r="69" spans="1:14" ht="13.5" thickBot="1" x14ac:dyDescent="0.25">
      <c r="A69" s="646">
        <f t="shared" ref="A69:M69" si="18">A67*A68</f>
        <v>15313616.775</v>
      </c>
      <c r="B69" s="646">
        <f t="shared" si="18"/>
        <v>1473684.5250000001</v>
      </c>
      <c r="C69" s="646">
        <f t="shared" si="18"/>
        <v>1645951.7250000001</v>
      </c>
      <c r="D69" s="646">
        <f t="shared" si="18"/>
        <v>1277403.9750000001</v>
      </c>
      <c r="E69" s="646">
        <f t="shared" si="18"/>
        <v>1185562.575</v>
      </c>
      <c r="F69" s="646">
        <f t="shared" si="18"/>
        <v>1267628.625</v>
      </c>
      <c r="G69" s="646">
        <f t="shared" si="18"/>
        <v>1100974.05</v>
      </c>
      <c r="H69" s="646">
        <f t="shared" si="18"/>
        <v>1192736.4750000001</v>
      </c>
      <c r="I69" s="646">
        <f t="shared" si="18"/>
        <v>1230024.825</v>
      </c>
      <c r="J69" s="646">
        <f t="shared" si="18"/>
        <v>1208660.8500000001</v>
      </c>
      <c r="K69" s="646">
        <f t="shared" si="18"/>
        <v>1238302.3500000001</v>
      </c>
      <c r="L69" s="646">
        <f t="shared" si="18"/>
        <v>1198964.25</v>
      </c>
      <c r="M69" s="819">
        <f t="shared" si="18"/>
        <v>1293722.55</v>
      </c>
      <c r="N69" s="679">
        <f t="shared" ref="N69" si="19">SUM(B69:M69)</f>
        <v>15313616.774999999</v>
      </c>
    </row>
    <row r="70" spans="1:14" ht="13.5" thickBot="1" x14ac:dyDescent="0.25">
      <c r="A70" s="658" t="s">
        <v>380</v>
      </c>
    </row>
    <row r="71" spans="1:14" x14ac:dyDescent="0.2">
      <c r="A71" s="1232" t="s">
        <v>346</v>
      </c>
      <c r="B71" s="1232"/>
      <c r="C71" s="1232"/>
      <c r="D71" s="1232"/>
      <c r="E71" s="1232"/>
      <c r="F71" s="1232"/>
      <c r="G71" s="1232"/>
      <c r="H71" s="1232"/>
      <c r="I71" s="1232"/>
      <c r="J71" s="1232"/>
      <c r="K71" s="1232"/>
      <c r="L71" s="1232"/>
      <c r="M71" s="1232"/>
    </row>
    <row r="72" spans="1:14" x14ac:dyDescent="0.2">
      <c r="A72" s="1244" t="s">
        <v>476</v>
      </c>
      <c r="B72" s="1244"/>
      <c r="C72" s="1244"/>
      <c r="D72" s="1244"/>
      <c r="E72" s="1244"/>
      <c r="F72" s="1244"/>
      <c r="G72" s="1244"/>
      <c r="H72" s="1244"/>
      <c r="I72" s="1244"/>
      <c r="J72" s="1244"/>
      <c r="K72" s="1244"/>
      <c r="L72" s="1244"/>
      <c r="M72" s="1244"/>
    </row>
    <row r="73" spans="1:14" x14ac:dyDescent="0.2">
      <c r="A73" s="642"/>
      <c r="B73" s="809"/>
      <c r="C73" s="809"/>
      <c r="D73" s="809"/>
      <c r="E73" s="809"/>
      <c r="F73" s="809"/>
      <c r="G73" s="809"/>
      <c r="H73" s="809"/>
      <c r="I73" s="809"/>
      <c r="J73" s="809"/>
      <c r="K73" s="809"/>
      <c r="L73" s="809"/>
      <c r="M73" s="809"/>
    </row>
    <row r="74" spans="1:14" ht="13.5" thickBot="1" x14ac:dyDescent="0.25">
      <c r="A74" s="660">
        <f>SUM(B74:M74)</f>
        <v>99.999999999999957</v>
      </c>
      <c r="B74" s="660">
        <f>B76/$A$76*100</f>
        <v>8.3333333333333321</v>
      </c>
      <c r="C74" s="660">
        <f t="shared" ref="C74:M74" si="20">C76/$A$76*100</f>
        <v>8.3333333333333321</v>
      </c>
      <c r="D74" s="660">
        <f t="shared" si="20"/>
        <v>8.3333333333333321</v>
      </c>
      <c r="E74" s="660">
        <f t="shared" si="20"/>
        <v>8.3333333333333321</v>
      </c>
      <c r="F74" s="660">
        <f t="shared" si="20"/>
        <v>8.3333333333333321</v>
      </c>
      <c r="G74" s="660">
        <f t="shared" si="20"/>
        <v>8.3333333333333321</v>
      </c>
      <c r="H74" s="660">
        <f t="shared" si="20"/>
        <v>8.3333333333333321</v>
      </c>
      <c r="I74" s="660">
        <f t="shared" si="20"/>
        <v>8.3333333333333321</v>
      </c>
      <c r="J74" s="660">
        <f t="shared" si="20"/>
        <v>8.3333333333333321</v>
      </c>
      <c r="K74" s="660">
        <f t="shared" si="20"/>
        <v>8.3333333333333321</v>
      </c>
      <c r="L74" s="660">
        <f t="shared" si="20"/>
        <v>8.3333333333333321</v>
      </c>
      <c r="M74" s="660">
        <f t="shared" si="20"/>
        <v>8.3333333333333321</v>
      </c>
    </row>
    <row r="75" spans="1:14" ht="13.5" thickBot="1" x14ac:dyDescent="0.25">
      <c r="A75" s="644" t="s">
        <v>347</v>
      </c>
      <c r="B75" s="644" t="s">
        <v>1</v>
      </c>
      <c r="C75" s="644" t="s">
        <v>2</v>
      </c>
      <c r="D75" s="644" t="s">
        <v>3</v>
      </c>
      <c r="E75" s="644" t="s">
        <v>4</v>
      </c>
      <c r="F75" s="644" t="s">
        <v>5</v>
      </c>
      <c r="G75" s="644" t="s">
        <v>6</v>
      </c>
      <c r="H75" s="644" t="s">
        <v>7</v>
      </c>
      <c r="I75" s="644" t="s">
        <v>8</v>
      </c>
      <c r="J75" s="644" t="s">
        <v>9</v>
      </c>
      <c r="K75" s="644" t="s">
        <v>10</v>
      </c>
      <c r="L75" s="644" t="s">
        <v>11</v>
      </c>
      <c r="M75" s="644" t="s">
        <v>12</v>
      </c>
      <c r="N75" s="561"/>
    </row>
    <row r="76" spans="1:14" ht="13.5" thickBot="1" x14ac:dyDescent="0.25">
      <c r="A76" s="646">
        <f>B76+C76+D76+E76+F76+G76+H76+I76+J76+K76+L76+M76</f>
        <v>13229412</v>
      </c>
      <c r="B76" s="821">
        <v>1102451</v>
      </c>
      <c r="C76" s="821">
        <v>1102451</v>
      </c>
      <c r="D76" s="821">
        <v>1102451</v>
      </c>
      <c r="E76" s="821">
        <v>1102451</v>
      </c>
      <c r="F76" s="821">
        <v>1102451</v>
      </c>
      <c r="G76" s="821">
        <v>1102451</v>
      </c>
      <c r="H76" s="821">
        <v>1102451</v>
      </c>
      <c r="I76" s="821">
        <v>1102451</v>
      </c>
      <c r="J76" s="821">
        <v>1102451</v>
      </c>
      <c r="K76" s="821">
        <v>1102451</v>
      </c>
      <c r="L76" s="821">
        <v>1102451</v>
      </c>
      <c r="M76" s="822">
        <v>1102451</v>
      </c>
      <c r="N76" s="679">
        <f>SUM(B76:M76)</f>
        <v>13229412</v>
      </c>
    </row>
    <row r="77" spans="1:14" ht="13.5" thickBot="1" x14ac:dyDescent="0.25">
      <c r="A77" s="652">
        <v>0.22500000000000001</v>
      </c>
      <c r="B77" s="652">
        <v>0.22500000000000001</v>
      </c>
      <c r="C77" s="652">
        <v>0.22500000000000001</v>
      </c>
      <c r="D77" s="652">
        <v>0.22500000000000001</v>
      </c>
      <c r="E77" s="652">
        <v>0.22500000000000001</v>
      </c>
      <c r="F77" s="652">
        <v>0.22500000000000001</v>
      </c>
      <c r="G77" s="652">
        <v>0.22500000000000001</v>
      </c>
      <c r="H77" s="652">
        <v>0.22500000000000001</v>
      </c>
      <c r="I77" s="652">
        <v>0.22500000000000001</v>
      </c>
      <c r="J77" s="652">
        <v>0.22500000000000001</v>
      </c>
      <c r="K77" s="652">
        <v>0.22500000000000001</v>
      </c>
      <c r="L77" s="652">
        <v>0.22500000000000001</v>
      </c>
      <c r="M77" s="652">
        <v>0.22500000000000001</v>
      </c>
    </row>
    <row r="78" spans="1:14" ht="13.5" thickBot="1" x14ac:dyDescent="0.25">
      <c r="A78" s="646">
        <f t="shared" ref="A78:M78" si="21">A76*A77</f>
        <v>2976617.7</v>
      </c>
      <c r="B78" s="646">
        <f t="shared" si="21"/>
        <v>248051.47500000001</v>
      </c>
      <c r="C78" s="646">
        <f t="shared" si="21"/>
        <v>248051.47500000001</v>
      </c>
      <c r="D78" s="646">
        <f t="shared" si="21"/>
        <v>248051.47500000001</v>
      </c>
      <c r="E78" s="646">
        <f t="shared" si="21"/>
        <v>248051.47500000001</v>
      </c>
      <c r="F78" s="646">
        <f t="shared" si="21"/>
        <v>248051.47500000001</v>
      </c>
      <c r="G78" s="646">
        <f t="shared" si="21"/>
        <v>248051.47500000001</v>
      </c>
      <c r="H78" s="646">
        <f t="shared" si="21"/>
        <v>248051.47500000001</v>
      </c>
      <c r="I78" s="646">
        <f t="shared" si="21"/>
        <v>248051.47500000001</v>
      </c>
      <c r="J78" s="646">
        <f t="shared" si="21"/>
        <v>248051.47500000001</v>
      </c>
      <c r="K78" s="646">
        <f t="shared" si="21"/>
        <v>248051.47500000001</v>
      </c>
      <c r="L78" s="646">
        <f t="shared" si="21"/>
        <v>248051.47500000001</v>
      </c>
      <c r="M78" s="819">
        <f t="shared" si="21"/>
        <v>248051.47500000001</v>
      </c>
      <c r="N78" s="679">
        <f>SUM(B78:M78)</f>
        <v>2976617.7000000007</v>
      </c>
    </row>
    <row r="79" spans="1:14" ht="13.5" thickBot="1" x14ac:dyDescent="0.25">
      <c r="A79" s="658" t="s">
        <v>380</v>
      </c>
    </row>
    <row r="80" spans="1:14" x14ac:dyDescent="0.2">
      <c r="A80" s="1240"/>
      <c r="B80" s="1240"/>
      <c r="C80" s="1240"/>
      <c r="D80" s="1240"/>
      <c r="E80" s="1240"/>
      <c r="F80" s="1240"/>
      <c r="G80" s="1240"/>
      <c r="H80" s="1240"/>
      <c r="I80" s="1240"/>
      <c r="J80" s="1240"/>
      <c r="K80" s="1240"/>
      <c r="L80" s="1240"/>
      <c r="M80" s="1240"/>
    </row>
    <row r="81" spans="1:26" x14ac:dyDescent="0.2">
      <c r="A81" s="1240"/>
      <c r="B81" s="1240"/>
      <c r="C81" s="1240"/>
      <c r="D81" s="1240"/>
      <c r="E81" s="1240"/>
      <c r="F81" s="1240"/>
      <c r="G81" s="1240"/>
      <c r="H81" s="1240"/>
      <c r="I81" s="1240"/>
      <c r="J81" s="1240"/>
      <c r="K81" s="1240"/>
      <c r="L81" s="1240"/>
      <c r="M81" s="1240"/>
    </row>
    <row r="82" spans="1:26" x14ac:dyDescent="0.2">
      <c r="A82" s="1232" t="s">
        <v>346</v>
      </c>
      <c r="B82" s="1232"/>
      <c r="C82" s="1232"/>
      <c r="D82" s="1232"/>
      <c r="E82" s="1232"/>
      <c r="F82" s="1232"/>
      <c r="G82" s="1232"/>
      <c r="H82" s="1232"/>
      <c r="I82" s="1232"/>
      <c r="J82" s="1232"/>
      <c r="K82" s="1232"/>
      <c r="L82" s="1232"/>
      <c r="M82" s="1232"/>
    </row>
    <row r="83" spans="1:26" x14ac:dyDescent="0.2">
      <c r="A83" s="1244" t="s">
        <v>477</v>
      </c>
      <c r="B83" s="1244"/>
      <c r="C83" s="1244"/>
      <c r="D83" s="1244"/>
      <c r="E83" s="1244"/>
      <c r="F83" s="1244"/>
      <c r="G83" s="1244"/>
      <c r="H83" s="1244"/>
      <c r="I83" s="1244"/>
      <c r="J83" s="1244"/>
      <c r="K83" s="1244"/>
      <c r="L83" s="1244"/>
      <c r="M83" s="1244"/>
      <c r="N83" s="674"/>
      <c r="O83" s="674"/>
      <c r="P83" s="674"/>
      <c r="Q83" s="674"/>
      <c r="R83" s="674"/>
      <c r="S83" s="674"/>
      <c r="T83" s="674"/>
      <c r="U83" s="674"/>
      <c r="V83" s="674"/>
      <c r="W83" s="674"/>
      <c r="X83" s="674"/>
      <c r="Y83" s="674"/>
      <c r="Z83" s="674"/>
    </row>
    <row r="84" spans="1:26" ht="13.5" thickBot="1" x14ac:dyDescent="0.25">
      <c r="A84" s="660"/>
      <c r="B84" s="823">
        <f>B86/$A$86*100</f>
        <v>10.000585808992419</v>
      </c>
      <c r="C84" s="823">
        <f t="shared" ref="C84:M84" si="22">C86/$A$86*100</f>
        <v>11.652929812794751</v>
      </c>
      <c r="D84" s="823">
        <f t="shared" si="22"/>
        <v>9.8849040149857395</v>
      </c>
      <c r="E84" s="823">
        <f t="shared" si="22"/>
        <v>7.678389633099858</v>
      </c>
      <c r="F84" s="823">
        <f t="shared" si="22"/>
        <v>7.6807466143203325</v>
      </c>
      <c r="G84" s="823">
        <f t="shared" si="22"/>
        <v>6.0259741412466283</v>
      </c>
      <c r="H84" s="823">
        <f t="shared" si="22"/>
        <v>7.6122197408291319</v>
      </c>
      <c r="I84" s="823">
        <f t="shared" si="22"/>
        <v>7.5987919904545596</v>
      </c>
      <c r="J84" s="823">
        <f t="shared" si="22"/>
        <v>8.3637256071444313</v>
      </c>
      <c r="K84" s="823">
        <f t="shared" si="22"/>
        <v>6.6241584269703848</v>
      </c>
      <c r="L84" s="823">
        <f t="shared" si="22"/>
        <v>10.172531991967663</v>
      </c>
      <c r="M84" s="823">
        <f t="shared" si="22"/>
        <v>6.7050422171941015</v>
      </c>
      <c r="N84" s="674"/>
      <c r="O84" s="674"/>
    </row>
    <row r="85" spans="1:26" ht="13.5" thickBot="1" x14ac:dyDescent="0.25">
      <c r="A85" s="644" t="s">
        <v>347</v>
      </c>
      <c r="B85" s="644" t="s">
        <v>1</v>
      </c>
      <c r="C85" s="644" t="s">
        <v>2</v>
      </c>
      <c r="D85" s="644" t="s">
        <v>3</v>
      </c>
      <c r="E85" s="644" t="s">
        <v>4</v>
      </c>
      <c r="F85" s="644" t="s">
        <v>5</v>
      </c>
      <c r="G85" s="644" t="s">
        <v>6</v>
      </c>
      <c r="H85" s="644" t="s">
        <v>7</v>
      </c>
      <c r="I85" s="644" t="s">
        <v>8</v>
      </c>
      <c r="J85" s="644" t="s">
        <v>9</v>
      </c>
      <c r="K85" s="644" t="s">
        <v>10</v>
      </c>
      <c r="L85" s="644" t="s">
        <v>11</v>
      </c>
      <c r="M85" s="644" t="s">
        <v>12</v>
      </c>
      <c r="N85" s="674"/>
      <c r="O85" s="674"/>
    </row>
    <row r="86" spans="1:26" ht="13.5" thickBot="1" x14ac:dyDescent="0.25">
      <c r="A86" s="646">
        <f>B86+C86+D86+E86+F86+G86+H86+I86+J86+K86+L86+M86</f>
        <v>941416071</v>
      </c>
      <c r="B86" s="821">
        <v>94147122</v>
      </c>
      <c r="C86" s="821">
        <v>109702554</v>
      </c>
      <c r="D86" s="821">
        <v>93058075</v>
      </c>
      <c r="E86" s="821">
        <v>72285594</v>
      </c>
      <c r="F86" s="821">
        <v>72307783</v>
      </c>
      <c r="G86" s="821">
        <v>56729489</v>
      </c>
      <c r="H86" s="821">
        <v>71662660</v>
      </c>
      <c r="I86" s="821">
        <v>71536249</v>
      </c>
      <c r="J86" s="821">
        <v>78737457</v>
      </c>
      <c r="K86" s="821">
        <v>62360892</v>
      </c>
      <c r="L86" s="821">
        <v>95765851</v>
      </c>
      <c r="M86" s="822">
        <v>63122345</v>
      </c>
      <c r="N86" s="679">
        <f>SUM(B86:M86)</f>
        <v>941416071</v>
      </c>
    </row>
    <row r="87" spans="1:26" ht="13.5" thickBot="1" x14ac:dyDescent="0.25">
      <c r="A87" s="652">
        <v>0.22500000000000001</v>
      </c>
      <c r="B87" s="652">
        <v>0.22500000000000001</v>
      </c>
      <c r="C87" s="652">
        <v>0.22500000000000001</v>
      </c>
      <c r="D87" s="652">
        <v>0.22500000000000001</v>
      </c>
      <c r="E87" s="652">
        <v>0.22500000000000001</v>
      </c>
      <c r="F87" s="652">
        <v>0.22500000000000001</v>
      </c>
      <c r="G87" s="652">
        <v>0.22500000000000001</v>
      </c>
      <c r="H87" s="652">
        <v>0.22500000000000001</v>
      </c>
      <c r="I87" s="652">
        <v>0.22500000000000001</v>
      </c>
      <c r="J87" s="652">
        <v>0.22500000000000001</v>
      </c>
      <c r="K87" s="652">
        <v>0.22500000000000001</v>
      </c>
      <c r="L87" s="652">
        <v>0.22500000000000001</v>
      </c>
      <c r="M87" s="652">
        <v>0.22500000000000001</v>
      </c>
    </row>
    <row r="88" spans="1:26" ht="13.5" thickBot="1" x14ac:dyDescent="0.25">
      <c r="A88" s="646">
        <f t="shared" ref="A88:M88" si="23">A86*A87</f>
        <v>211818615.97499999</v>
      </c>
      <c r="B88" s="646">
        <f t="shared" si="23"/>
        <v>21183102.449999999</v>
      </c>
      <c r="C88" s="646">
        <f t="shared" si="23"/>
        <v>24683074.650000002</v>
      </c>
      <c r="D88" s="646">
        <f t="shared" si="23"/>
        <v>20938066.875</v>
      </c>
      <c r="E88" s="646">
        <f t="shared" si="23"/>
        <v>16264258.65</v>
      </c>
      <c r="F88" s="646">
        <f t="shared" si="23"/>
        <v>16269251.175000001</v>
      </c>
      <c r="G88" s="646">
        <f t="shared" si="23"/>
        <v>12764135.025</v>
      </c>
      <c r="H88" s="646">
        <f t="shared" si="23"/>
        <v>16124098.5</v>
      </c>
      <c r="I88" s="646">
        <f t="shared" si="23"/>
        <v>16095656.025</v>
      </c>
      <c r="J88" s="646">
        <f t="shared" si="23"/>
        <v>17715927.824999999</v>
      </c>
      <c r="K88" s="646">
        <f t="shared" si="23"/>
        <v>14031200.700000001</v>
      </c>
      <c r="L88" s="646">
        <f t="shared" si="23"/>
        <v>21547316.475000001</v>
      </c>
      <c r="M88" s="819">
        <f t="shared" si="23"/>
        <v>14202527.625</v>
      </c>
      <c r="N88" s="679">
        <f>SUM(B88:M88)</f>
        <v>211818615.97499996</v>
      </c>
    </row>
    <row r="89" spans="1:26" ht="13.5" thickBot="1" x14ac:dyDescent="0.25">
      <c r="A89" s="658" t="s">
        <v>380</v>
      </c>
    </row>
    <row r="92" spans="1:26" x14ac:dyDescent="0.2">
      <c r="A92" s="1232" t="s">
        <v>346</v>
      </c>
      <c r="B92" s="1232"/>
      <c r="C92" s="1232"/>
      <c r="D92" s="1232"/>
      <c r="E92" s="1232"/>
      <c r="F92" s="1232"/>
      <c r="G92" s="1232"/>
      <c r="H92" s="1232"/>
      <c r="I92" s="1232"/>
      <c r="J92" s="1232"/>
      <c r="K92" s="1232"/>
      <c r="L92" s="1232"/>
      <c r="M92" s="1232"/>
    </row>
    <row r="93" spans="1:26" x14ac:dyDescent="0.2">
      <c r="A93" s="1244" t="s">
        <v>478</v>
      </c>
      <c r="B93" s="1244"/>
      <c r="C93" s="1244"/>
      <c r="D93" s="1244"/>
      <c r="E93" s="1244"/>
      <c r="F93" s="1244"/>
      <c r="G93" s="1244"/>
      <c r="H93" s="1244"/>
      <c r="I93" s="1244"/>
      <c r="J93" s="1244"/>
      <c r="K93" s="1244"/>
      <c r="L93" s="1244"/>
      <c r="M93" s="1244"/>
    </row>
    <row r="94" spans="1:26" ht="13.5" thickBot="1" x14ac:dyDescent="0.25">
      <c r="A94" s="675">
        <f>SUM(B94:M94)</f>
        <v>100</v>
      </c>
      <c r="B94" s="823">
        <f>B96/$A$96*100</f>
        <v>10.708120880843591</v>
      </c>
      <c r="C94" s="823">
        <f t="shared" ref="C94:M94" si="24">C96/$A$96*100</f>
        <v>8.8558668383705132</v>
      </c>
      <c r="D94" s="823">
        <f t="shared" si="24"/>
        <v>9.8881944538894295</v>
      </c>
      <c r="E94" s="823">
        <f t="shared" si="24"/>
        <v>5.3140669974280215</v>
      </c>
      <c r="F94" s="823">
        <f t="shared" si="24"/>
        <v>8.5565065759757317</v>
      </c>
      <c r="G94" s="823">
        <f t="shared" si="24"/>
        <v>7.2234872535664465</v>
      </c>
      <c r="H94" s="823">
        <f t="shared" si="24"/>
        <v>10.716238397284426</v>
      </c>
      <c r="I94" s="823">
        <f t="shared" si="24"/>
        <v>6.2086402157799077</v>
      </c>
      <c r="J94" s="823">
        <f t="shared" si="24"/>
        <v>10.089586171302503</v>
      </c>
      <c r="K94" s="823">
        <f t="shared" si="24"/>
        <v>5.9978568038603299</v>
      </c>
      <c r="L94" s="823">
        <f t="shared" si="24"/>
        <v>9.50655664831039</v>
      </c>
      <c r="M94" s="823">
        <f t="shared" si="24"/>
        <v>6.9348787633887117</v>
      </c>
    </row>
    <row r="95" spans="1:26" ht="13.5" thickBot="1" x14ac:dyDescent="0.25">
      <c r="A95" s="644" t="s">
        <v>347</v>
      </c>
      <c r="B95" s="644" t="s">
        <v>1</v>
      </c>
      <c r="C95" s="644" t="s">
        <v>2</v>
      </c>
      <c r="D95" s="644" t="s">
        <v>3</v>
      </c>
      <c r="E95" s="644" t="s">
        <v>4</v>
      </c>
      <c r="F95" s="644" t="s">
        <v>5</v>
      </c>
      <c r="G95" s="644" t="s">
        <v>6</v>
      </c>
      <c r="H95" s="644" t="s">
        <v>7</v>
      </c>
      <c r="I95" s="644" t="s">
        <v>8</v>
      </c>
      <c r="J95" s="644" t="s">
        <v>9</v>
      </c>
      <c r="K95" s="644" t="s">
        <v>10</v>
      </c>
      <c r="L95" s="644" t="s">
        <v>11</v>
      </c>
      <c r="M95" s="644" t="s">
        <v>12</v>
      </c>
    </row>
    <row r="96" spans="1:26" ht="13.5" thickBot="1" x14ac:dyDescent="0.25">
      <c r="A96" s="646">
        <f>B96+C96+D96+E96+F96+G96+H96+I96+J96+K96+L96+M96</f>
        <v>6984895</v>
      </c>
      <c r="B96" s="821">
        <v>747951</v>
      </c>
      <c r="C96" s="821">
        <v>618573</v>
      </c>
      <c r="D96" s="821">
        <v>690680</v>
      </c>
      <c r="E96" s="821">
        <v>371182</v>
      </c>
      <c r="F96" s="821">
        <v>597663</v>
      </c>
      <c r="G96" s="821">
        <v>504553</v>
      </c>
      <c r="H96" s="821">
        <v>748518</v>
      </c>
      <c r="I96" s="821">
        <v>433667</v>
      </c>
      <c r="J96" s="821">
        <v>704747</v>
      </c>
      <c r="K96" s="821">
        <v>418944</v>
      </c>
      <c r="L96" s="821">
        <v>664023</v>
      </c>
      <c r="M96" s="822">
        <v>484394</v>
      </c>
      <c r="N96" s="679">
        <f>SUM(B96:M96)</f>
        <v>6984895</v>
      </c>
    </row>
    <row r="97" spans="1:16" ht="13.5" thickBot="1" x14ac:dyDescent="0.25">
      <c r="A97" s="652">
        <v>0.22500000000000001</v>
      </c>
      <c r="B97" s="652">
        <v>0.22500000000000001</v>
      </c>
      <c r="C97" s="652">
        <v>0.22500000000000001</v>
      </c>
      <c r="D97" s="652">
        <v>0.22500000000000001</v>
      </c>
      <c r="E97" s="652">
        <v>0.22500000000000001</v>
      </c>
      <c r="F97" s="652">
        <v>0.22500000000000001</v>
      </c>
      <c r="G97" s="652">
        <v>0.22500000000000001</v>
      </c>
      <c r="H97" s="652">
        <v>0.22500000000000001</v>
      </c>
      <c r="I97" s="652">
        <v>0.22500000000000001</v>
      </c>
      <c r="J97" s="652">
        <v>0.22500000000000001</v>
      </c>
      <c r="K97" s="652">
        <v>0.22500000000000001</v>
      </c>
      <c r="L97" s="652">
        <v>0.22500000000000001</v>
      </c>
      <c r="M97" s="652">
        <v>0.22500000000000001</v>
      </c>
    </row>
    <row r="98" spans="1:16" ht="13.5" thickBot="1" x14ac:dyDescent="0.25">
      <c r="A98" s="646">
        <f t="shared" ref="A98:M98" si="25">A96*A97</f>
        <v>1571601.375</v>
      </c>
      <c r="B98" s="646">
        <f t="shared" si="25"/>
        <v>168288.97500000001</v>
      </c>
      <c r="C98" s="646">
        <f t="shared" si="25"/>
        <v>139178.92500000002</v>
      </c>
      <c r="D98" s="646">
        <f t="shared" si="25"/>
        <v>155403</v>
      </c>
      <c r="E98" s="646">
        <f t="shared" si="25"/>
        <v>83515.95</v>
      </c>
      <c r="F98" s="646">
        <f t="shared" si="25"/>
        <v>134474.17500000002</v>
      </c>
      <c r="G98" s="646">
        <f t="shared" si="25"/>
        <v>113524.425</v>
      </c>
      <c r="H98" s="646">
        <f t="shared" si="25"/>
        <v>168416.55000000002</v>
      </c>
      <c r="I98" s="646">
        <f t="shared" si="25"/>
        <v>97575.074999999997</v>
      </c>
      <c r="J98" s="646">
        <f t="shared" si="25"/>
        <v>158568.07500000001</v>
      </c>
      <c r="K98" s="646">
        <f t="shared" si="25"/>
        <v>94262.400000000009</v>
      </c>
      <c r="L98" s="646">
        <f t="shared" si="25"/>
        <v>149405.17500000002</v>
      </c>
      <c r="M98" s="819">
        <f t="shared" si="25"/>
        <v>108988.65000000001</v>
      </c>
      <c r="N98" s="679">
        <f>SUM(B98:M98)</f>
        <v>1571601.375</v>
      </c>
    </row>
    <row r="99" spans="1:16" ht="13.5" thickBot="1" x14ac:dyDescent="0.25">
      <c r="A99" s="658" t="s">
        <v>380</v>
      </c>
    </row>
    <row r="102" spans="1:16" x14ac:dyDescent="0.2">
      <c r="A102" s="1232" t="s">
        <v>346</v>
      </c>
      <c r="B102" s="1232"/>
      <c r="C102" s="1232"/>
      <c r="D102" s="1232"/>
      <c r="E102" s="1232"/>
      <c r="F102" s="1232"/>
      <c r="G102" s="1232"/>
      <c r="H102" s="1232"/>
      <c r="I102" s="1232"/>
      <c r="J102" s="1232"/>
      <c r="K102" s="1232"/>
      <c r="L102" s="1232"/>
      <c r="M102" s="1232"/>
    </row>
    <row r="103" spans="1:16" x14ac:dyDescent="0.2">
      <c r="A103" s="1244" t="s">
        <v>388</v>
      </c>
      <c r="B103" s="1244"/>
      <c r="C103" s="1244"/>
      <c r="D103" s="1244"/>
      <c r="E103" s="1244"/>
      <c r="F103" s="1244"/>
      <c r="G103" s="1244"/>
      <c r="H103" s="1244"/>
      <c r="I103" s="1244"/>
      <c r="J103" s="1244"/>
      <c r="K103" s="1244"/>
      <c r="L103" s="1244"/>
      <c r="M103" s="1244"/>
    </row>
    <row r="104" spans="1:16" ht="13.5" thickBot="1" x14ac:dyDescent="0.25">
      <c r="A104" s="675">
        <f>SUM(B104:M104)</f>
        <v>100.00000000000001</v>
      </c>
      <c r="B104" s="823">
        <f>B106/$A$106*100</f>
        <v>4.9747622140791297</v>
      </c>
      <c r="C104" s="823">
        <f t="shared" ref="C104:M104" si="26">C106/$A$106*100</f>
        <v>8.4293979571678701</v>
      </c>
      <c r="D104" s="823">
        <f t="shared" si="26"/>
        <v>7.6571379347012885</v>
      </c>
      <c r="E104" s="823">
        <f t="shared" si="26"/>
        <v>9.113711510370214</v>
      </c>
      <c r="F104" s="823">
        <f t="shared" si="26"/>
        <v>9.6762216181994418</v>
      </c>
      <c r="G104" s="823">
        <f t="shared" si="26"/>
        <v>12.652351785041347</v>
      </c>
      <c r="H104" s="823">
        <f t="shared" si="26"/>
        <v>9.674901467397385</v>
      </c>
      <c r="I104" s="823">
        <f t="shared" si="26"/>
        <v>5.8462066338933285</v>
      </c>
      <c r="J104" s="823">
        <f t="shared" si="26"/>
        <v>6.6711198145716049</v>
      </c>
      <c r="K104" s="823">
        <f t="shared" si="26"/>
        <v>8.5453315554917513</v>
      </c>
      <c r="L104" s="823">
        <f t="shared" si="26"/>
        <v>7.4442123201932153</v>
      </c>
      <c r="M104" s="823">
        <f t="shared" si="26"/>
        <v>9.3146451888934259</v>
      </c>
    </row>
    <row r="105" spans="1:16" ht="13.5" thickBot="1" x14ac:dyDescent="0.25">
      <c r="A105" s="644" t="s">
        <v>347</v>
      </c>
      <c r="B105" s="644" t="s">
        <v>1</v>
      </c>
      <c r="C105" s="644" t="s">
        <v>2</v>
      </c>
      <c r="D105" s="644" t="s">
        <v>3</v>
      </c>
      <c r="E105" s="644" t="s">
        <v>4</v>
      </c>
      <c r="F105" s="644" t="s">
        <v>5</v>
      </c>
      <c r="G105" s="644" t="s">
        <v>6</v>
      </c>
      <c r="H105" s="644" t="s">
        <v>7</v>
      </c>
      <c r="I105" s="644" t="s">
        <v>8</v>
      </c>
      <c r="J105" s="644" t="s">
        <v>9</v>
      </c>
      <c r="K105" s="644" t="s">
        <v>10</v>
      </c>
      <c r="L105" s="644" t="s">
        <v>11</v>
      </c>
      <c r="M105" s="644" t="s">
        <v>12</v>
      </c>
    </row>
    <row r="106" spans="1:16" ht="13.5" thickBot="1" x14ac:dyDescent="0.25">
      <c r="A106" s="646">
        <f>B106+C106+D106+E106+F106+G106+H106+I106+J106+K106+L106+M106</f>
        <v>588720621</v>
      </c>
      <c r="B106" s="821">
        <v>29287451</v>
      </c>
      <c r="C106" s="821">
        <v>49625604</v>
      </c>
      <c r="D106" s="821">
        <v>45079150</v>
      </c>
      <c r="E106" s="821">
        <v>53654299</v>
      </c>
      <c r="F106" s="821">
        <v>56965912</v>
      </c>
      <c r="G106" s="821">
        <v>74487004</v>
      </c>
      <c r="H106" s="821">
        <v>56958140</v>
      </c>
      <c r="I106" s="821">
        <v>34417824</v>
      </c>
      <c r="J106" s="821">
        <v>39274258</v>
      </c>
      <c r="K106" s="821">
        <v>50308129</v>
      </c>
      <c r="L106" s="821">
        <v>43825613</v>
      </c>
      <c r="M106" s="822">
        <v>54837237</v>
      </c>
      <c r="N106" s="679">
        <f>SUM(B106:M106)</f>
        <v>588720621</v>
      </c>
      <c r="P106" s="679">
        <f>N10+N19+N31+N40+N49+N58+N67+N76+N86+N96+N106</f>
        <v>12200082544</v>
      </c>
    </row>
    <row r="107" spans="1:16" ht="13.5" thickBot="1" x14ac:dyDescent="0.25">
      <c r="A107" s="652">
        <v>0.22500000000000001</v>
      </c>
      <c r="B107" s="652">
        <v>0.22500000000000001</v>
      </c>
      <c r="C107" s="652">
        <v>0.22500000000000001</v>
      </c>
      <c r="D107" s="652">
        <v>0.22500000000000001</v>
      </c>
      <c r="E107" s="652">
        <v>0.22500000000000001</v>
      </c>
      <c r="F107" s="652">
        <v>0.22500000000000001</v>
      </c>
      <c r="G107" s="652">
        <v>0.22500000000000001</v>
      </c>
      <c r="H107" s="652">
        <v>0.22500000000000001</v>
      </c>
      <c r="I107" s="652">
        <v>0.22500000000000001</v>
      </c>
      <c r="J107" s="652">
        <v>0.22500000000000001</v>
      </c>
      <c r="K107" s="652">
        <v>0.22500000000000001</v>
      </c>
      <c r="L107" s="652">
        <v>0.22500000000000001</v>
      </c>
      <c r="M107" s="652">
        <v>0.22500000000000001</v>
      </c>
      <c r="N107" s="561"/>
    </row>
    <row r="108" spans="1:16" ht="13.5" thickBot="1" x14ac:dyDescent="0.25">
      <c r="A108" s="646">
        <f t="shared" ref="A108:M108" si="27">A106*A107</f>
        <v>132462139.72500001</v>
      </c>
      <c r="B108" s="646">
        <f t="shared" si="27"/>
        <v>6589676.4750000006</v>
      </c>
      <c r="C108" s="646">
        <f t="shared" si="27"/>
        <v>11165760.9</v>
      </c>
      <c r="D108" s="646">
        <f t="shared" si="27"/>
        <v>10142808.75</v>
      </c>
      <c r="E108" s="646">
        <f t="shared" si="27"/>
        <v>12072217.275</v>
      </c>
      <c r="F108" s="646">
        <f t="shared" si="27"/>
        <v>12817330.200000001</v>
      </c>
      <c r="G108" s="646">
        <f t="shared" si="27"/>
        <v>16759575.9</v>
      </c>
      <c r="H108" s="646">
        <f t="shared" si="27"/>
        <v>12815581.5</v>
      </c>
      <c r="I108" s="646">
        <f t="shared" si="27"/>
        <v>7744010.4000000004</v>
      </c>
      <c r="J108" s="646">
        <f t="shared" si="27"/>
        <v>8836708.0500000007</v>
      </c>
      <c r="K108" s="646">
        <f t="shared" si="27"/>
        <v>11319329.025</v>
      </c>
      <c r="L108" s="646">
        <f t="shared" si="27"/>
        <v>9860762.9250000007</v>
      </c>
      <c r="M108" s="819">
        <f t="shared" si="27"/>
        <v>12338378.325000001</v>
      </c>
      <c r="N108" s="679">
        <f t="shared" ref="N108" si="28">SUM(B108:M108)</f>
        <v>132462139.72500001</v>
      </c>
      <c r="P108" s="679">
        <f>N12+N19+N33+N42+N51+N60+N69+N78+N88+N98+N108</f>
        <v>3214050660.2499995</v>
      </c>
    </row>
    <row r="109" spans="1:16" ht="13.5" thickBot="1" x14ac:dyDescent="0.25">
      <c r="A109" s="658" t="s">
        <v>380</v>
      </c>
    </row>
    <row r="113" spans="1:13" x14ac:dyDescent="0.2">
      <c r="A113" s="561">
        <f>A10+A19+A31+A40+A49+A58+A67+A76+A86+A96+A106</f>
        <v>12200082544</v>
      </c>
      <c r="B113" s="561">
        <f t="shared" ref="B113:M113" si="29">B10+B19+B31+B40+B49+B58+B67+B76+B86+B96+B106</f>
        <v>951998197</v>
      </c>
      <c r="C113" s="561">
        <f t="shared" si="29"/>
        <v>1276254806</v>
      </c>
      <c r="D113" s="561">
        <f t="shared" si="29"/>
        <v>882275295</v>
      </c>
      <c r="E113" s="561">
        <f t="shared" si="29"/>
        <v>1075874910</v>
      </c>
      <c r="F113" s="561">
        <f t="shared" si="29"/>
        <v>1201589447</v>
      </c>
      <c r="G113" s="561">
        <f t="shared" si="29"/>
        <v>1184417197</v>
      </c>
      <c r="H113" s="561">
        <f t="shared" si="29"/>
        <v>1042115816</v>
      </c>
      <c r="I113" s="561">
        <f t="shared" si="29"/>
        <v>993387770</v>
      </c>
      <c r="J113" s="561">
        <f t="shared" si="29"/>
        <v>959309895</v>
      </c>
      <c r="K113" s="561">
        <f t="shared" si="29"/>
        <v>742328168</v>
      </c>
      <c r="L113" s="561">
        <f t="shared" si="29"/>
        <v>954028383</v>
      </c>
      <c r="M113" s="561">
        <f t="shared" si="29"/>
        <v>936502660</v>
      </c>
    </row>
    <row r="114" spans="1:13" x14ac:dyDescent="0.2">
      <c r="A114" s="561">
        <f>SUM(B113:M113)</f>
        <v>12200082544</v>
      </c>
    </row>
    <row r="116" spans="1:13" x14ac:dyDescent="0.2">
      <c r="A116" s="561">
        <f>A12+A19+A33+A42+A51+A60+A69+A78+A88+A98+A108</f>
        <v>3214050660.2499995</v>
      </c>
      <c r="B116" s="561">
        <f t="shared" ref="B116:M116" si="30">B12+B19+B33+B42+B51+B60+B69+B78+B88+B98+B108</f>
        <v>249669273.52500001</v>
      </c>
      <c r="C116" s="561">
        <f t="shared" si="30"/>
        <v>338008879.62500006</v>
      </c>
      <c r="D116" s="561">
        <f t="shared" si="30"/>
        <v>231355712.09999999</v>
      </c>
      <c r="E116" s="561">
        <f t="shared" si="30"/>
        <v>282434186.44999993</v>
      </c>
      <c r="F116" s="561">
        <f t="shared" si="30"/>
        <v>319665402.5250001</v>
      </c>
      <c r="G116" s="561">
        <f t="shared" si="30"/>
        <v>314831423</v>
      </c>
      <c r="H116" s="561">
        <f t="shared" si="30"/>
        <v>271927401.94999999</v>
      </c>
      <c r="I116" s="561">
        <f t="shared" si="30"/>
        <v>263280461.84999999</v>
      </c>
      <c r="J116" s="561">
        <f t="shared" si="30"/>
        <v>253212278.27499998</v>
      </c>
      <c r="K116" s="561">
        <f t="shared" si="30"/>
        <v>191769327.39999998</v>
      </c>
      <c r="L116" s="561">
        <f t="shared" si="30"/>
        <v>250807049.35000005</v>
      </c>
      <c r="M116" s="561">
        <f t="shared" si="30"/>
        <v>247089264.19999999</v>
      </c>
    </row>
    <row r="117" spans="1:13" x14ac:dyDescent="0.2">
      <c r="A117" s="552">
        <v>275915905</v>
      </c>
    </row>
    <row r="118" spans="1:13" x14ac:dyDescent="0.2">
      <c r="A118" s="561">
        <f>A116-A117</f>
        <v>2938134755.2499995</v>
      </c>
    </row>
  </sheetData>
  <mergeCells count="28">
    <mergeCell ref="A8:M8"/>
    <mergeCell ref="A1:M1"/>
    <mergeCell ref="A2:M2"/>
    <mergeCell ref="A3:M3"/>
    <mergeCell ref="A4:M4"/>
    <mergeCell ref="A5:M5"/>
    <mergeCell ref="A63:M63"/>
    <mergeCell ref="A14:M14"/>
    <mergeCell ref="A15:M15"/>
    <mergeCell ref="A26:M26"/>
    <mergeCell ref="A27:M27"/>
    <mergeCell ref="A35:M35"/>
    <mergeCell ref="A36:M36"/>
    <mergeCell ref="A44:M44"/>
    <mergeCell ref="A45:M45"/>
    <mergeCell ref="A53:M53"/>
    <mergeCell ref="A54:M54"/>
    <mergeCell ref="A62:M62"/>
    <mergeCell ref="A92:M92"/>
    <mergeCell ref="A93:M93"/>
    <mergeCell ref="A102:M102"/>
    <mergeCell ref="A103:M103"/>
    <mergeCell ref="A71:M71"/>
    <mergeCell ref="A72:M72"/>
    <mergeCell ref="A80:M80"/>
    <mergeCell ref="A81:M81"/>
    <mergeCell ref="A82:M82"/>
    <mergeCell ref="A83:M83"/>
  </mergeCells>
  <printOptions horizontalCentered="1"/>
  <pageMargins left="0.78740157480314965" right="0.78740157480314965" top="0.98425196850393704" bottom="0.98425196850393704" header="0" footer="0"/>
  <pageSetup paperSize="5" scale="85" orientation="landscape"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3" tint="0.79998168889431442"/>
    <pageSetUpPr fitToPage="1"/>
  </sheetPr>
  <dimension ref="B2:N56"/>
  <sheetViews>
    <sheetView zoomScaleNormal="100" workbookViewId="0">
      <selection activeCell="K21" sqref="K21"/>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8"/>
      <c r="C2" s="8"/>
      <c r="D2" s="8"/>
      <c r="F2" s="220"/>
      <c r="G2" s="220" t="s">
        <v>205</v>
      </c>
    </row>
    <row r="3" spans="2:9" x14ac:dyDescent="0.25">
      <c r="B3" s="942" t="s">
        <v>0</v>
      </c>
      <c r="C3" s="942"/>
      <c r="D3" s="942"/>
      <c r="E3" s="942"/>
      <c r="F3" s="942"/>
      <c r="G3" s="942"/>
    </row>
    <row r="4" spans="2:9" x14ac:dyDescent="0.25">
      <c r="B4" s="1247" t="s">
        <v>206</v>
      </c>
      <c r="C4" s="1247"/>
      <c r="D4" s="1247"/>
      <c r="E4" s="1247"/>
      <c r="F4" s="1247"/>
      <c r="G4" s="1247"/>
      <c r="H4" s="239"/>
      <c r="I4" s="239"/>
    </row>
    <row r="5" spans="2:9" ht="15" customHeight="1" x14ac:dyDescent="0.25">
      <c r="B5" s="1248" t="s">
        <v>83</v>
      </c>
      <c r="C5" s="1251" t="s">
        <v>25</v>
      </c>
      <c r="D5" s="86"/>
      <c r="E5" s="1248" t="s">
        <v>26</v>
      </c>
      <c r="F5" s="240"/>
      <c r="G5" s="1248" t="s">
        <v>27</v>
      </c>
    </row>
    <row r="6" spans="2:9" ht="28.5" customHeight="1" x14ac:dyDescent="0.25">
      <c r="B6" s="1249"/>
      <c r="C6" s="1252"/>
      <c r="D6" s="13"/>
      <c r="E6" s="1249"/>
      <c r="F6" s="241"/>
      <c r="G6" s="1249"/>
    </row>
    <row r="7" spans="2:9" x14ac:dyDescent="0.25">
      <c r="B7" s="1249"/>
      <c r="C7" s="13" t="s">
        <v>207</v>
      </c>
      <c r="D7" s="13"/>
      <c r="E7" s="235"/>
      <c r="F7" s="235"/>
      <c r="G7" s="13" t="s">
        <v>41</v>
      </c>
    </row>
    <row r="8" spans="2:9" x14ac:dyDescent="0.25">
      <c r="B8" s="1250"/>
      <c r="C8" s="121" t="s">
        <v>70</v>
      </c>
      <c r="D8" s="121"/>
      <c r="E8" s="242" t="s">
        <v>208</v>
      </c>
      <c r="F8" s="235"/>
      <c r="G8" s="121" t="s">
        <v>209</v>
      </c>
    </row>
    <row r="9" spans="2:9" x14ac:dyDescent="0.25">
      <c r="B9" s="712" t="s">
        <v>45</v>
      </c>
      <c r="C9" s="713">
        <f>K36/H36</f>
        <v>1.1542467485866543</v>
      </c>
      <c r="D9" s="714"/>
      <c r="E9" s="715">
        <f>C9/C$29%</f>
        <v>5.1394067633930076</v>
      </c>
      <c r="F9" s="715">
        <f>E9*0.3</f>
        <v>1.5418220290179023</v>
      </c>
      <c r="G9" s="716">
        <f>Datos!$I$16*'FGP 30%'!E9%</f>
        <v>14857325.527119715</v>
      </c>
      <c r="H9" s="243"/>
      <c r="I9" s="244"/>
    </row>
    <row r="10" spans="2:9" x14ac:dyDescent="0.25">
      <c r="B10" s="717" t="s">
        <v>46</v>
      </c>
      <c r="C10" s="718">
        <f t="shared" ref="C10:C28" si="0">K37/H37</f>
        <v>1.0553461295135069</v>
      </c>
      <c r="D10" s="719"/>
      <c r="E10" s="720">
        <f t="shared" ref="E10:E28" si="1">C10/C$29%</f>
        <v>4.6990412079425132</v>
      </c>
      <c r="F10" s="720">
        <f t="shared" ref="F10:F28" si="2">E10*0.3</f>
        <v>1.4097123623827539</v>
      </c>
      <c r="G10" s="368">
        <f>Datos!$I$16*'FGP 30%'!E10%</f>
        <v>13584288.636002062</v>
      </c>
      <c r="H10" s="243"/>
      <c r="I10" s="244"/>
    </row>
    <row r="11" spans="2:9" x14ac:dyDescent="0.25">
      <c r="B11" s="717" t="s">
        <v>47</v>
      </c>
      <c r="C11" s="718">
        <f t="shared" si="0"/>
        <v>1.2083065398674513</v>
      </c>
      <c r="D11" s="719"/>
      <c r="E11" s="720">
        <f t="shared" si="1"/>
        <v>5.3801137502451208</v>
      </c>
      <c r="F11" s="720">
        <f t="shared" si="2"/>
        <v>1.6140341250735362</v>
      </c>
      <c r="G11" s="368">
        <f>Datos!$I$16*'FGP 30%'!E11%</f>
        <v>15553176.668108787</v>
      </c>
      <c r="H11" s="243"/>
      <c r="I11" s="244"/>
    </row>
    <row r="12" spans="2:9" x14ac:dyDescent="0.25">
      <c r="B12" s="717" t="s">
        <v>48</v>
      </c>
      <c r="C12" s="718">
        <f t="shared" si="0"/>
        <v>1.0333644497698489</v>
      </c>
      <c r="D12" s="719"/>
      <c r="E12" s="720">
        <f t="shared" si="1"/>
        <v>4.6011654342540638</v>
      </c>
      <c r="F12" s="720">
        <f t="shared" si="2"/>
        <v>1.380349630276219</v>
      </c>
      <c r="G12" s="368">
        <f>Datos!$I$16*'FGP 30%'!E12%</f>
        <v>13301343.094258649</v>
      </c>
      <c r="H12" s="243"/>
      <c r="I12" s="245"/>
    </row>
    <row r="13" spans="2:9" x14ac:dyDescent="0.25">
      <c r="B13" s="717" t="s">
        <v>49</v>
      </c>
      <c r="C13" s="718">
        <f t="shared" si="0"/>
        <v>1.1642469983862425</v>
      </c>
      <c r="D13" s="719"/>
      <c r="E13" s="720">
        <f t="shared" si="1"/>
        <v>5.1839339422813646</v>
      </c>
      <c r="F13" s="720">
        <f t="shared" si="2"/>
        <v>1.5551801826844094</v>
      </c>
      <c r="G13" s="368">
        <f>Datos!$I$16*'FGP 30%'!E13%</f>
        <v>14986047.541547671</v>
      </c>
      <c r="H13" s="243"/>
      <c r="I13" s="245"/>
    </row>
    <row r="14" spans="2:9" x14ac:dyDescent="0.25">
      <c r="B14" s="717" t="s">
        <v>50</v>
      </c>
      <c r="C14" s="718">
        <f t="shared" si="0"/>
        <v>0.65106791009865694</v>
      </c>
      <c r="D14" s="719"/>
      <c r="E14" s="720">
        <f t="shared" si="1"/>
        <v>2.8989493145087093</v>
      </c>
      <c r="F14" s="720">
        <f t="shared" si="2"/>
        <v>0.86968479435261281</v>
      </c>
      <c r="G14" s="368">
        <f>Datos!$I$16*'FGP 30%'!E14%</f>
        <v>8380467.9479857823</v>
      </c>
      <c r="H14" s="243"/>
      <c r="I14" s="244"/>
    </row>
    <row r="15" spans="2:9" x14ac:dyDescent="0.25">
      <c r="B15" s="717" t="s">
        <v>51</v>
      </c>
      <c r="C15" s="718">
        <f t="shared" si="0"/>
        <v>1.3823759930196073</v>
      </c>
      <c r="D15" s="719"/>
      <c r="E15" s="720">
        <f t="shared" si="1"/>
        <v>6.1551765571585859</v>
      </c>
      <c r="F15" s="720">
        <f t="shared" si="2"/>
        <v>1.8465529671475758</v>
      </c>
      <c r="G15" s="368">
        <f>Datos!$I$16*'FGP 30%'!E15%</f>
        <v>17793777.763997547</v>
      </c>
      <c r="H15" s="243"/>
      <c r="I15" s="244"/>
    </row>
    <row r="16" spans="2:9" x14ac:dyDescent="0.25">
      <c r="B16" s="717" t="s">
        <v>52</v>
      </c>
      <c r="C16" s="718">
        <f t="shared" si="0"/>
        <v>1.1050848603220345</v>
      </c>
      <c r="D16" s="719"/>
      <c r="E16" s="720">
        <f t="shared" si="1"/>
        <v>4.920508212144985</v>
      </c>
      <c r="F16" s="720">
        <f t="shared" si="2"/>
        <v>1.4761524636434955</v>
      </c>
      <c r="G16" s="368">
        <f>Datos!$I$16*'FGP 30%'!E16%</f>
        <v>14224519.605535166</v>
      </c>
      <c r="H16" s="243"/>
      <c r="I16" s="244"/>
    </row>
    <row r="17" spans="2:9" x14ac:dyDescent="0.25">
      <c r="B17" s="717" t="s">
        <v>53</v>
      </c>
      <c r="C17" s="718">
        <f t="shared" si="0"/>
        <v>0.89975002890103106</v>
      </c>
      <c r="D17" s="719"/>
      <c r="E17" s="720">
        <f t="shared" si="1"/>
        <v>4.0062329736334146</v>
      </c>
      <c r="F17" s="720">
        <f t="shared" si="2"/>
        <v>1.2018698920900244</v>
      </c>
      <c r="G17" s="368">
        <f>Datos!$I$16*'FGP 30%'!E17%</f>
        <v>11581474.31542399</v>
      </c>
      <c r="H17" s="243"/>
      <c r="I17" s="244"/>
    </row>
    <row r="18" spans="2:9" x14ac:dyDescent="0.25">
      <c r="B18" s="717" t="s">
        <v>54</v>
      </c>
      <c r="C18" s="718">
        <f t="shared" si="0"/>
        <v>1.3162010486293272</v>
      </c>
      <c r="D18" s="719"/>
      <c r="E18" s="720">
        <f t="shared" si="1"/>
        <v>5.8605255588490772</v>
      </c>
      <c r="F18" s="720">
        <f t="shared" si="2"/>
        <v>1.758157667654723</v>
      </c>
      <c r="G18" s="368">
        <f>Datos!$I$16*'FGP 30%'!E18%</f>
        <v>16941981.827167474</v>
      </c>
      <c r="H18" s="243"/>
      <c r="I18" s="244"/>
    </row>
    <row r="19" spans="2:9" x14ac:dyDescent="0.25">
      <c r="B19" s="717" t="s">
        <v>55</v>
      </c>
      <c r="C19" s="718">
        <f t="shared" si="0"/>
        <v>1.0190030729370949</v>
      </c>
      <c r="D19" s="719"/>
      <c r="E19" s="720">
        <f t="shared" si="1"/>
        <v>4.5372198720800592</v>
      </c>
      <c r="F19" s="720">
        <f t="shared" si="2"/>
        <v>1.3611659616240177</v>
      </c>
      <c r="G19" s="368">
        <f>Datos!$I$16*'FGP 30%'!E19%</f>
        <v>13116485.176414713</v>
      </c>
      <c r="H19" s="243"/>
      <c r="I19" s="244"/>
    </row>
    <row r="20" spans="2:9" x14ac:dyDescent="0.25">
      <c r="B20" s="717" t="s">
        <v>56</v>
      </c>
      <c r="C20" s="718">
        <f t="shared" si="0"/>
        <v>0.83465271490580173</v>
      </c>
      <c r="D20" s="719"/>
      <c r="E20" s="720">
        <f t="shared" si="1"/>
        <v>3.7163802396010586</v>
      </c>
      <c r="F20" s="720">
        <f t="shared" si="2"/>
        <v>1.1149140718803174</v>
      </c>
      <c r="G20" s="368">
        <f>Datos!$I$16*'FGP 30%'!E20%</f>
        <v>10743549.50761966</v>
      </c>
      <c r="H20" s="243"/>
      <c r="I20" s="244"/>
    </row>
    <row r="21" spans="2:9" x14ac:dyDescent="0.25">
      <c r="B21" s="717" t="s">
        <v>57</v>
      </c>
      <c r="C21" s="718">
        <f t="shared" si="0"/>
        <v>1.3735286960903454</v>
      </c>
      <c r="D21" s="719"/>
      <c r="E21" s="720">
        <f t="shared" si="1"/>
        <v>6.115783023902658</v>
      </c>
      <c r="F21" s="720">
        <f t="shared" si="2"/>
        <v>1.8347349071707972</v>
      </c>
      <c r="G21" s="368">
        <f>Datos!$I$16*'FGP 30%'!E21%</f>
        <v>17679896.420451131</v>
      </c>
      <c r="H21" s="243"/>
      <c r="I21" s="245"/>
    </row>
    <row r="22" spans="2:9" x14ac:dyDescent="0.25">
      <c r="B22" s="717" t="s">
        <v>58</v>
      </c>
      <c r="C22" s="718">
        <f t="shared" si="0"/>
        <v>0.9827285681329595</v>
      </c>
      <c r="D22" s="719"/>
      <c r="E22" s="720">
        <f t="shared" si="1"/>
        <v>4.3757037702955976</v>
      </c>
      <c r="F22" s="720">
        <f t="shared" si="2"/>
        <v>1.3127111310886792</v>
      </c>
      <c r="G22" s="368">
        <f>Datos!$I$16*'FGP 30%'!E22%</f>
        <v>12649564.107007304</v>
      </c>
      <c r="H22" s="243"/>
      <c r="I22" s="244"/>
    </row>
    <row r="23" spans="2:9" x14ac:dyDescent="0.25">
      <c r="B23" s="717" t="s">
        <v>59</v>
      </c>
      <c r="C23" s="718">
        <f t="shared" si="0"/>
        <v>1.0869321629053543</v>
      </c>
      <c r="D23" s="719"/>
      <c r="E23" s="720">
        <f t="shared" si="1"/>
        <v>4.8396813906777822</v>
      </c>
      <c r="F23" s="720">
        <f t="shared" si="2"/>
        <v>1.4519044172033346</v>
      </c>
      <c r="G23" s="368">
        <f>Datos!$I$16*'FGP 30%'!E23%</f>
        <v>13990860.26445826</v>
      </c>
      <c r="H23" s="243"/>
      <c r="I23" s="244"/>
    </row>
    <row r="24" spans="2:9" x14ac:dyDescent="0.25">
      <c r="B24" s="717" t="s">
        <v>60</v>
      </c>
      <c r="C24" s="718">
        <f t="shared" si="0"/>
        <v>1.32432549159275</v>
      </c>
      <c r="D24" s="719"/>
      <c r="E24" s="720">
        <f t="shared" si="1"/>
        <v>5.8967005077204027</v>
      </c>
      <c r="F24" s="720">
        <f t="shared" si="2"/>
        <v>1.7690101523161208</v>
      </c>
      <c r="G24" s="368">
        <f>Datos!$I$16*'FGP 30%'!E24%</f>
        <v>17046558.681277644</v>
      </c>
      <c r="H24" s="243"/>
      <c r="I24" s="245"/>
    </row>
    <row r="25" spans="2:9" x14ac:dyDescent="0.25">
      <c r="B25" s="717" t="s">
        <v>61</v>
      </c>
      <c r="C25" s="718">
        <f t="shared" si="0"/>
        <v>1.7169529584166487</v>
      </c>
      <c r="D25" s="719"/>
      <c r="E25" s="720">
        <f t="shared" si="1"/>
        <v>7.644916182539883</v>
      </c>
      <c r="F25" s="720">
        <f t="shared" si="2"/>
        <v>2.293474854761965</v>
      </c>
      <c r="G25" s="368">
        <f>Datos!$I$16*'FGP 30%'!E25%</f>
        <v>22100412.281154711</v>
      </c>
      <c r="H25" s="243"/>
      <c r="I25" s="244"/>
    </row>
    <row r="26" spans="2:9" x14ac:dyDescent="0.25">
      <c r="B26" s="717" t="s">
        <v>62</v>
      </c>
      <c r="C26" s="718">
        <f t="shared" si="0"/>
        <v>1.3233729332996125</v>
      </c>
      <c r="D26" s="719"/>
      <c r="E26" s="720">
        <f t="shared" si="1"/>
        <v>5.8924591403175732</v>
      </c>
      <c r="F26" s="720">
        <f t="shared" si="2"/>
        <v>1.767737742095272</v>
      </c>
      <c r="G26" s="368">
        <f>Datos!$I$16*'FGP 30%'!E26%</f>
        <v>17034297.465327043</v>
      </c>
      <c r="H26" s="243"/>
      <c r="I26" s="245"/>
    </row>
    <row r="27" spans="2:9" x14ac:dyDescent="0.25">
      <c r="B27" s="717" t="s">
        <v>63</v>
      </c>
      <c r="C27" s="718">
        <f t="shared" si="0"/>
        <v>0.83787183438101953</v>
      </c>
      <c r="D27" s="719"/>
      <c r="E27" s="720">
        <f t="shared" si="1"/>
        <v>3.7307137124250995</v>
      </c>
      <c r="F27" s="720">
        <f t="shared" si="2"/>
        <v>1.1192141137275298</v>
      </c>
      <c r="G27" s="368">
        <f>Datos!$I$16*'FGP 30%'!E27%</f>
        <v>10784985.626900537</v>
      </c>
      <c r="H27" s="243"/>
      <c r="I27" s="244"/>
    </row>
    <row r="28" spans="2:9" x14ac:dyDescent="0.25">
      <c r="B28" s="721" t="s">
        <v>64</v>
      </c>
      <c r="C28" s="722">
        <f t="shared" si="0"/>
        <v>0.98939537658490417</v>
      </c>
      <c r="D28" s="723"/>
      <c r="E28" s="724">
        <f t="shared" si="1"/>
        <v>4.4053884460290353</v>
      </c>
      <c r="F28" s="724">
        <f t="shared" si="2"/>
        <v>1.3216165338087105</v>
      </c>
      <c r="G28" s="725">
        <f>Datos!$I$16*'FGP 30%'!E28%</f>
        <v>12735378.464742146</v>
      </c>
      <c r="H28" s="246"/>
      <c r="I28" s="244"/>
    </row>
    <row r="29" spans="2:9" x14ac:dyDescent="0.25">
      <c r="B29" s="127" t="s">
        <v>65</v>
      </c>
      <c r="C29" s="247">
        <f t="shared" ref="C29:E29" si="3">SUM(C9:C28)</f>
        <v>22.458754516340854</v>
      </c>
      <c r="D29" s="248"/>
      <c r="E29" s="249">
        <f t="shared" si="3"/>
        <v>99.999999999999986</v>
      </c>
      <c r="F29" s="250">
        <f>SUM(F9:F28)</f>
        <v>30</v>
      </c>
      <c r="G29" s="251">
        <f>SUM(G9:G28)</f>
        <v>289086390.92250001</v>
      </c>
    </row>
    <row r="30" spans="2:9" x14ac:dyDescent="0.25">
      <c r="B30" s="8"/>
      <c r="C30" s="8"/>
      <c r="D30" s="8"/>
    </row>
    <row r="31" spans="2:9" x14ac:dyDescent="0.25">
      <c r="B31" s="8" t="s">
        <v>192</v>
      </c>
      <c r="C31" s="8"/>
      <c r="D31" s="8"/>
    </row>
    <row r="33" spans="2:14" ht="15.75" thickBot="1" x14ac:dyDescent="0.3"/>
    <row r="34" spans="2:14" x14ac:dyDescent="0.25">
      <c r="B34" s="1165" t="s">
        <v>13</v>
      </c>
      <c r="C34" s="224"/>
      <c r="D34" s="223"/>
      <c r="E34" s="223"/>
      <c r="F34" s="1210">
        <v>2019</v>
      </c>
      <c r="G34" s="1211"/>
      <c r="H34" s="1246"/>
      <c r="I34" s="1210">
        <v>2020</v>
      </c>
      <c r="J34" s="1211"/>
      <c r="K34" s="1212"/>
      <c r="L34" s="57"/>
      <c r="M34" s="57"/>
      <c r="N34" s="57"/>
    </row>
    <row r="35" spans="2:14" ht="15.75" thickBot="1" x14ac:dyDescent="0.3">
      <c r="B35" s="1165"/>
      <c r="C35" s="221"/>
      <c r="D35" s="221"/>
      <c r="E35" s="221"/>
      <c r="F35" s="159" t="s">
        <v>254</v>
      </c>
      <c r="G35" s="155" t="s">
        <v>262</v>
      </c>
      <c r="H35" s="155" t="s">
        <v>82</v>
      </c>
      <c r="I35" s="159" t="s">
        <v>254</v>
      </c>
      <c r="J35" s="155" t="s">
        <v>262</v>
      </c>
      <c r="K35" s="414" t="s">
        <v>82</v>
      </c>
      <c r="L35" s="57"/>
      <c r="M35" s="57"/>
      <c r="N35" s="57"/>
    </row>
    <row r="36" spans="2:14" x14ac:dyDescent="0.25">
      <c r="B36" s="32" t="s">
        <v>143</v>
      </c>
      <c r="C36" s="214"/>
      <c r="D36" s="32"/>
      <c r="E36" s="34"/>
      <c r="F36" s="706">
        <f>'Predial y Agua'!B7</f>
        <v>3428296.17</v>
      </c>
      <c r="G36" s="700">
        <f>'Predial y Agua'!C7</f>
        <v>8725757.5600000005</v>
      </c>
      <c r="H36" s="701">
        <f t="shared" ref="H36:H55" si="4">F36+G36</f>
        <v>12154053.73</v>
      </c>
      <c r="I36" s="706">
        <f>'Predial y Agua'!E7</f>
        <v>4685511</v>
      </c>
      <c r="J36" s="700">
        <f>'Predial y Agua'!F7</f>
        <v>9343266</v>
      </c>
      <c r="K36" s="701">
        <f t="shared" ref="K36:K55" si="5">I36+J36</f>
        <v>14028777</v>
      </c>
    </row>
    <row r="37" spans="2:14" x14ac:dyDescent="0.25">
      <c r="B37" s="32" t="s">
        <v>144</v>
      </c>
      <c r="C37" s="214"/>
      <c r="D37" s="32"/>
      <c r="E37" s="34"/>
      <c r="F37" s="707">
        <f>'Predial y Agua'!B8</f>
        <v>3406773.3000000003</v>
      </c>
      <c r="G37" s="497">
        <f>'Predial y Agua'!C8</f>
        <v>3476192.2</v>
      </c>
      <c r="H37" s="702">
        <f t="shared" si="4"/>
        <v>6882965.5</v>
      </c>
      <c r="I37" s="707">
        <f>'Predial y Agua'!E8</f>
        <v>4069102</v>
      </c>
      <c r="J37" s="497">
        <f>'Predial y Agua'!F8</f>
        <v>3194809</v>
      </c>
      <c r="K37" s="702">
        <f t="shared" si="5"/>
        <v>7263911</v>
      </c>
    </row>
    <row r="38" spans="2:14" x14ac:dyDescent="0.25">
      <c r="B38" s="32" t="s">
        <v>145</v>
      </c>
      <c r="C38" s="214"/>
      <c r="D38" s="32"/>
      <c r="E38" s="34"/>
      <c r="F38" s="707">
        <f>'Predial y Agua'!B9</f>
        <v>2083457.21</v>
      </c>
      <c r="G38" s="497">
        <f>'Predial y Agua'!C9</f>
        <v>1269070.3700000001</v>
      </c>
      <c r="H38" s="702">
        <f t="shared" si="4"/>
        <v>3352527.58</v>
      </c>
      <c r="I38" s="707">
        <f>'Predial y Agua'!E9</f>
        <v>2353953</v>
      </c>
      <c r="J38" s="497">
        <f>'Predial y Agua'!F9</f>
        <v>1696928</v>
      </c>
      <c r="K38" s="702">
        <f t="shared" si="5"/>
        <v>4050881</v>
      </c>
    </row>
    <row r="39" spans="2:14" x14ac:dyDescent="0.25">
      <c r="B39" s="32" t="s">
        <v>146</v>
      </c>
      <c r="C39" s="214"/>
      <c r="D39" s="32"/>
      <c r="E39" s="34"/>
      <c r="F39" s="707">
        <f>'Predial y Agua'!B10</f>
        <v>183471756.25</v>
      </c>
      <c r="G39" s="497">
        <f>'Predial y Agua'!C10</f>
        <v>152996495.66</v>
      </c>
      <c r="H39" s="702">
        <f t="shared" si="4"/>
        <v>336468251.90999997</v>
      </c>
      <c r="I39" s="707">
        <f>'Predial y Agua'!E10</f>
        <v>202700376</v>
      </c>
      <c r="J39" s="497">
        <f>'Predial y Agua'!F10</f>
        <v>144993954</v>
      </c>
      <c r="K39" s="702">
        <f t="shared" si="5"/>
        <v>347694330</v>
      </c>
    </row>
    <row r="40" spans="2:14" x14ac:dyDescent="0.25">
      <c r="B40" s="32" t="s">
        <v>147</v>
      </c>
      <c r="C40" s="214"/>
      <c r="D40" s="32"/>
      <c r="E40" s="34"/>
      <c r="F40" s="707">
        <f>'Predial y Agua'!B11</f>
        <v>22835524.52</v>
      </c>
      <c r="G40" s="497">
        <f>'Predial y Agua'!C11</f>
        <v>36651534.579999998</v>
      </c>
      <c r="H40" s="702">
        <f t="shared" si="4"/>
        <v>59487059.099999994</v>
      </c>
      <c r="I40" s="707">
        <f>'Predial y Agua'!E11</f>
        <v>26434598</v>
      </c>
      <c r="J40" s="497">
        <f>'Predial y Agua'!F11</f>
        <v>42823032</v>
      </c>
      <c r="K40" s="702">
        <f t="shared" si="5"/>
        <v>69257630</v>
      </c>
    </row>
    <row r="41" spans="2:14" x14ac:dyDescent="0.25">
      <c r="B41" s="32" t="s">
        <v>148</v>
      </c>
      <c r="C41" s="214"/>
      <c r="D41" s="32"/>
      <c r="E41" s="34"/>
      <c r="F41" s="707">
        <f>'Predial y Agua'!B12</f>
        <v>38491.81</v>
      </c>
      <c r="G41" s="497">
        <f>'Predial y Agua'!C12</f>
        <v>133376.59</v>
      </c>
      <c r="H41" s="702">
        <f t="shared" si="4"/>
        <v>171868.4</v>
      </c>
      <c r="I41" s="707">
        <f>'Predial y Agua'!E12</f>
        <v>30205</v>
      </c>
      <c r="J41" s="497">
        <f>'Predial y Agua'!F12</f>
        <v>81693</v>
      </c>
      <c r="K41" s="702">
        <f t="shared" si="5"/>
        <v>111898</v>
      </c>
    </row>
    <row r="42" spans="2:14" x14ac:dyDescent="0.25">
      <c r="B42" s="32" t="s">
        <v>149</v>
      </c>
      <c r="C42" s="214"/>
      <c r="D42" s="32"/>
      <c r="E42" s="34"/>
      <c r="F42" s="707">
        <f>'Predial y Agua'!B13</f>
        <v>13226.89</v>
      </c>
      <c r="G42" s="497">
        <f>'Predial y Agua'!C13</f>
        <v>134994</v>
      </c>
      <c r="H42" s="702">
        <f t="shared" si="4"/>
        <v>148220.89000000001</v>
      </c>
      <c r="I42" s="707">
        <f>'Predial y Agua'!E13</f>
        <v>14333</v>
      </c>
      <c r="J42" s="497">
        <f>'Predial y Agua'!F13</f>
        <v>190564</v>
      </c>
      <c r="K42" s="702">
        <f t="shared" si="5"/>
        <v>204897</v>
      </c>
    </row>
    <row r="43" spans="2:14" x14ac:dyDescent="0.25">
      <c r="B43" s="32" t="s">
        <v>150</v>
      </c>
      <c r="C43" s="214"/>
      <c r="D43" s="32"/>
      <c r="E43" s="34"/>
      <c r="F43" s="707">
        <f>'Predial y Agua'!B14</f>
        <v>6600442.2699999996</v>
      </c>
      <c r="G43" s="497">
        <f>'Predial y Agua'!C14</f>
        <v>6625182.7699999996</v>
      </c>
      <c r="H43" s="702">
        <f t="shared" si="4"/>
        <v>13225625.039999999</v>
      </c>
      <c r="I43" s="707">
        <f>'Predial y Agua'!E14</f>
        <v>6288793</v>
      </c>
      <c r="J43" s="497">
        <f>'Predial y Agua'!F14</f>
        <v>8326645</v>
      </c>
      <c r="K43" s="702">
        <f t="shared" si="5"/>
        <v>14615438</v>
      </c>
    </row>
    <row r="44" spans="2:14" x14ac:dyDescent="0.25">
      <c r="B44" s="32" t="s">
        <v>151</v>
      </c>
      <c r="C44" s="214"/>
      <c r="D44" s="32"/>
      <c r="E44" s="34"/>
      <c r="F44" s="707">
        <f>'Predial y Agua'!B15</f>
        <v>2157750.75</v>
      </c>
      <c r="G44" s="497">
        <f>'Predial y Agua'!C15</f>
        <v>2931081.54</v>
      </c>
      <c r="H44" s="702">
        <f t="shared" si="4"/>
        <v>5088832.29</v>
      </c>
      <c r="I44" s="707">
        <f>'Predial y Agua'!E15</f>
        <v>1754394</v>
      </c>
      <c r="J44" s="497">
        <f>'Predial y Agua'!F15</f>
        <v>2824283</v>
      </c>
      <c r="K44" s="702">
        <f t="shared" si="5"/>
        <v>4578677</v>
      </c>
    </row>
    <row r="45" spans="2:14" x14ac:dyDescent="0.25">
      <c r="B45" s="32" t="s">
        <v>152</v>
      </c>
      <c r="C45" s="214"/>
      <c r="D45" s="32"/>
      <c r="E45" s="34"/>
      <c r="F45" s="707">
        <f>'Predial y Agua'!B16</f>
        <v>515300</v>
      </c>
      <c r="G45" s="497">
        <f>'Predial y Agua'!C16</f>
        <v>323391.02</v>
      </c>
      <c r="H45" s="702">
        <f t="shared" si="4"/>
        <v>838691.02</v>
      </c>
      <c r="I45" s="707">
        <f>'Predial y Agua'!E16</f>
        <v>694855</v>
      </c>
      <c r="J45" s="497">
        <f>'Predial y Agua'!F16</f>
        <v>409031</v>
      </c>
      <c r="K45" s="702">
        <f t="shared" si="5"/>
        <v>1103886</v>
      </c>
    </row>
    <row r="46" spans="2:14" x14ac:dyDescent="0.25">
      <c r="B46" s="32" t="s">
        <v>153</v>
      </c>
      <c r="C46" s="214"/>
      <c r="D46" s="32"/>
      <c r="E46" s="34"/>
      <c r="F46" s="707">
        <f>'Predial y Agua'!B17</f>
        <v>1688702.38</v>
      </c>
      <c r="G46" s="497">
        <f>'Predial y Agua'!C17</f>
        <v>1143376.42</v>
      </c>
      <c r="H46" s="702">
        <f t="shared" si="4"/>
        <v>2832078.8</v>
      </c>
      <c r="I46" s="707">
        <f>'Predial y Agua'!E17</f>
        <v>1583407</v>
      </c>
      <c r="J46" s="497">
        <f>'Predial y Agua'!F17</f>
        <v>1302490</v>
      </c>
      <c r="K46" s="702">
        <f t="shared" si="5"/>
        <v>2885897</v>
      </c>
    </row>
    <row r="47" spans="2:14" x14ac:dyDescent="0.25">
      <c r="B47" s="32" t="s">
        <v>154</v>
      </c>
      <c r="C47" s="214"/>
      <c r="D47" s="32"/>
      <c r="E47" s="34"/>
      <c r="F47" s="707">
        <f>'Predial y Agua'!B18</f>
        <v>710503.91</v>
      </c>
      <c r="G47" s="497">
        <f>'Predial y Agua'!C18</f>
        <v>2437151.34</v>
      </c>
      <c r="H47" s="702">
        <f t="shared" si="4"/>
        <v>3147655.25</v>
      </c>
      <c r="I47" s="707">
        <f>'Predial y Agua'!E18</f>
        <v>861964</v>
      </c>
      <c r="J47" s="497">
        <f>'Predial y Agua'!F18</f>
        <v>1765235</v>
      </c>
      <c r="K47" s="702">
        <f t="shared" si="5"/>
        <v>2627199</v>
      </c>
    </row>
    <row r="48" spans="2:14" x14ac:dyDescent="0.25">
      <c r="B48" s="32" t="s">
        <v>155</v>
      </c>
      <c r="C48" s="214"/>
      <c r="D48" s="32"/>
      <c r="E48" s="34"/>
      <c r="F48" s="707">
        <f>'Predial y Agua'!B19</f>
        <v>2970266.37</v>
      </c>
      <c r="G48" s="497">
        <f>'Predial y Agua'!C19</f>
        <v>3573130.2300000004</v>
      </c>
      <c r="H48" s="702">
        <f t="shared" si="4"/>
        <v>6543396.6000000006</v>
      </c>
      <c r="I48" s="707">
        <f>'Predial y Agua'!E19</f>
        <v>3972924</v>
      </c>
      <c r="J48" s="497">
        <f>'Predial y Agua'!F19</f>
        <v>5014619</v>
      </c>
      <c r="K48" s="702">
        <f t="shared" si="5"/>
        <v>8987543</v>
      </c>
    </row>
    <row r="49" spans="2:11" x14ac:dyDescent="0.25">
      <c r="B49" s="32" t="s">
        <v>156</v>
      </c>
      <c r="C49" s="214"/>
      <c r="D49" s="32"/>
      <c r="E49" s="34"/>
      <c r="F49" s="707">
        <f>'Predial y Agua'!B20</f>
        <v>1014174.4600000001</v>
      </c>
      <c r="G49" s="497">
        <f>'Predial y Agua'!C20</f>
        <v>1316587.1299999999</v>
      </c>
      <c r="H49" s="702">
        <f t="shared" si="4"/>
        <v>2330761.59</v>
      </c>
      <c r="I49" s="707">
        <f>'Predial y Agua'!E20</f>
        <v>994390</v>
      </c>
      <c r="J49" s="497">
        <f>'Predial y Agua'!F20</f>
        <v>1296116</v>
      </c>
      <c r="K49" s="702">
        <f t="shared" si="5"/>
        <v>2290506</v>
      </c>
    </row>
    <row r="50" spans="2:11" x14ac:dyDescent="0.25">
      <c r="B50" s="32" t="s">
        <v>157</v>
      </c>
      <c r="C50" s="214"/>
      <c r="D50" s="32"/>
      <c r="E50" s="34"/>
      <c r="F50" s="707">
        <f>'Predial y Agua'!B21</f>
        <v>2915271.7800000003</v>
      </c>
      <c r="G50" s="497">
        <f>'Predial y Agua'!C21</f>
        <v>1377430.3399999999</v>
      </c>
      <c r="H50" s="702">
        <f t="shared" si="4"/>
        <v>4292702.12</v>
      </c>
      <c r="I50" s="707">
        <f>'Predial y Agua'!E21</f>
        <v>3148947</v>
      </c>
      <c r="J50" s="497">
        <f>'Predial y Agua'!F21</f>
        <v>1516929</v>
      </c>
      <c r="K50" s="702">
        <f t="shared" si="5"/>
        <v>4665876</v>
      </c>
    </row>
    <row r="51" spans="2:11" x14ac:dyDescent="0.25">
      <c r="B51" s="32" t="s">
        <v>158</v>
      </c>
      <c r="C51" s="214"/>
      <c r="D51" s="32"/>
      <c r="E51" s="34"/>
      <c r="F51" s="707">
        <f>'Predial y Agua'!B22</f>
        <v>5373173.21</v>
      </c>
      <c r="G51" s="497">
        <f>'Predial y Agua'!C22</f>
        <v>14876227.84</v>
      </c>
      <c r="H51" s="702">
        <f t="shared" si="4"/>
        <v>20249401.050000001</v>
      </c>
      <c r="I51" s="707">
        <f>'Predial y Agua'!E22</f>
        <v>6029533</v>
      </c>
      <c r="J51" s="497">
        <f>'Predial y Agua'!F22</f>
        <v>20787265</v>
      </c>
      <c r="K51" s="702">
        <f t="shared" si="5"/>
        <v>26816798</v>
      </c>
    </row>
    <row r="52" spans="2:11" x14ac:dyDescent="0.25">
      <c r="B52" s="32" t="s">
        <v>159</v>
      </c>
      <c r="C52" s="214"/>
      <c r="D52" s="32"/>
      <c r="E52" s="34"/>
      <c r="F52" s="707">
        <f>'Predial y Agua'!B23</f>
        <v>4197224.25</v>
      </c>
      <c r="G52" s="497">
        <f>'Predial y Agua'!C23</f>
        <v>2153542.64</v>
      </c>
      <c r="H52" s="702">
        <f t="shared" si="4"/>
        <v>6350766.8900000006</v>
      </c>
      <c r="I52" s="707">
        <f>'Predial y Agua'!E23</f>
        <v>8432049</v>
      </c>
      <c r="J52" s="497">
        <f>'Predial y Agua'!F23</f>
        <v>2471919</v>
      </c>
      <c r="K52" s="702">
        <f t="shared" si="5"/>
        <v>10903968</v>
      </c>
    </row>
    <row r="53" spans="2:11" s="254" customFormat="1" x14ac:dyDescent="0.25">
      <c r="B53" s="252" t="s">
        <v>160</v>
      </c>
      <c r="C53" s="253"/>
      <c r="D53" s="252"/>
      <c r="E53" s="705"/>
      <c r="F53" s="707">
        <f>'Predial y Agua'!B24</f>
        <v>83092270.290000007</v>
      </c>
      <c r="G53" s="497">
        <f>'Predial y Agua'!C24</f>
        <v>188296962.49000001</v>
      </c>
      <c r="H53" s="702">
        <f t="shared" si="4"/>
        <v>271389232.78000003</v>
      </c>
      <c r="I53" s="707">
        <f>'Predial y Agua'!E24</f>
        <v>116346773</v>
      </c>
      <c r="J53" s="497">
        <f>'Predial y Agua'!F24</f>
        <v>242802392.05000001</v>
      </c>
      <c r="K53" s="702">
        <f t="shared" si="5"/>
        <v>359149165.05000001</v>
      </c>
    </row>
    <row r="54" spans="2:11" x14ac:dyDescent="0.25">
      <c r="B54" s="32" t="s">
        <v>161</v>
      </c>
      <c r="C54" s="214"/>
      <c r="D54" s="32"/>
      <c r="E54" s="34"/>
      <c r="F54" s="707">
        <f>'Predial y Agua'!B25</f>
        <v>1556664.93</v>
      </c>
      <c r="G54" s="497">
        <f>'Predial y Agua'!C25</f>
        <v>1020973.93</v>
      </c>
      <c r="H54" s="702">
        <f t="shared" si="4"/>
        <v>2577638.86</v>
      </c>
      <c r="I54" s="707">
        <f>'Predial y Agua'!E25</f>
        <v>360697</v>
      </c>
      <c r="J54" s="497">
        <f>'Predial y Agua'!F25</f>
        <v>1799034</v>
      </c>
      <c r="K54" s="702">
        <f t="shared" si="5"/>
        <v>2159731</v>
      </c>
    </row>
    <row r="55" spans="2:11" ht="15.75" thickBot="1" x14ac:dyDescent="0.3">
      <c r="B55" s="32" t="s">
        <v>162</v>
      </c>
      <c r="C55" s="214"/>
      <c r="D55" s="32"/>
      <c r="E55" s="34"/>
      <c r="F55" s="708">
        <f>'Predial y Agua'!B26</f>
        <v>15142198.689999999</v>
      </c>
      <c r="G55" s="703">
        <f>'Predial y Agua'!C26</f>
        <v>28172356.859999999</v>
      </c>
      <c r="H55" s="704">
        <f t="shared" si="4"/>
        <v>43314555.549999997</v>
      </c>
      <c r="I55" s="708">
        <f>'Predial y Agua'!E26</f>
        <v>15363561</v>
      </c>
      <c r="J55" s="703">
        <f>'Predial y Agua'!F26</f>
        <v>27491660</v>
      </c>
      <c r="K55" s="704">
        <f t="shared" si="5"/>
        <v>42855221</v>
      </c>
    </row>
    <row r="56" spans="2:11" ht="15.75" thickBot="1" x14ac:dyDescent="0.3">
      <c r="B56" s="127" t="s">
        <v>65</v>
      </c>
      <c r="C56" s="214"/>
      <c r="D56" s="214"/>
      <c r="E56" s="709"/>
      <c r="F56" s="710">
        <f>SUM(F36:F55)</f>
        <v>343211469.44000006</v>
      </c>
      <c r="G56" s="710">
        <f>SUM(G36:G55)</f>
        <v>457634815.51000005</v>
      </c>
      <c r="H56" s="711">
        <f>SUM(H36:H55)</f>
        <v>800846284.94999993</v>
      </c>
      <c r="I56" s="710">
        <f>SUM(I36:I55)</f>
        <v>406120365</v>
      </c>
      <c r="J56" s="710">
        <f>SUM(J36:J55)</f>
        <v>520131864.05000001</v>
      </c>
      <c r="K56" s="710">
        <f>I56+J56</f>
        <v>926252229.04999995</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4"/>
  <sheetViews>
    <sheetView zoomScaleNormal="100" workbookViewId="0">
      <selection activeCell="B1" sqref="B1:K1"/>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9" customWidth="1"/>
    <col min="8" max="8" width="12.140625" style="9" customWidth="1"/>
    <col min="9" max="9" width="13.28515625" customWidth="1"/>
    <col min="10" max="10" width="13.140625" style="129" customWidth="1"/>
    <col min="11" max="11" width="13.85546875" style="129" customWidth="1"/>
    <col min="12" max="14" width="0" hidden="1" customWidth="1"/>
  </cols>
  <sheetData>
    <row r="1" spans="2:14" x14ac:dyDescent="0.25">
      <c r="B1" s="1018" t="s">
        <v>423</v>
      </c>
      <c r="C1" s="1018"/>
      <c r="D1" s="1018"/>
      <c r="E1" s="1018"/>
      <c r="F1" s="1018"/>
      <c r="G1" s="1018"/>
      <c r="H1" s="1018"/>
      <c r="I1" s="1018"/>
      <c r="J1" s="1018"/>
      <c r="K1" s="1018"/>
    </row>
    <row r="2" spans="2:14" ht="15.75" thickBot="1" x14ac:dyDescent="0.3"/>
    <row r="3" spans="2:14" ht="15" customHeight="1" x14ac:dyDescent="0.25">
      <c r="B3" s="1049" t="s">
        <v>227</v>
      </c>
      <c r="C3" s="1054" t="s">
        <v>235</v>
      </c>
      <c r="D3" s="1052" t="s">
        <v>259</v>
      </c>
      <c r="E3" s="1052" t="s">
        <v>255</v>
      </c>
      <c r="F3" s="1052" t="s">
        <v>258</v>
      </c>
      <c r="G3" s="1052" t="s">
        <v>330</v>
      </c>
      <c r="H3" s="1054" t="s">
        <v>256</v>
      </c>
      <c r="I3" s="1052" t="s">
        <v>237</v>
      </c>
      <c r="J3" s="1052" t="s">
        <v>489</v>
      </c>
      <c r="K3" s="1056" t="s">
        <v>257</v>
      </c>
    </row>
    <row r="4" spans="2:14" x14ac:dyDescent="0.25">
      <c r="B4" s="1050"/>
      <c r="C4" s="1055"/>
      <c r="D4" s="1053"/>
      <c r="E4" s="1053"/>
      <c r="F4" s="1053"/>
      <c r="G4" s="1053"/>
      <c r="H4" s="1055"/>
      <c r="I4" s="1053"/>
      <c r="J4" s="1053"/>
      <c r="K4" s="1057"/>
    </row>
    <row r="5" spans="2:14" x14ac:dyDescent="0.25">
      <c r="B5" s="1050"/>
      <c r="C5" s="1055"/>
      <c r="D5" s="1053"/>
      <c r="E5" s="1053"/>
      <c r="F5" s="1053"/>
      <c r="G5" s="1053"/>
      <c r="H5" s="1055"/>
      <c r="I5" s="1053"/>
      <c r="J5" s="1053"/>
      <c r="K5" s="1057"/>
    </row>
    <row r="6" spans="2:14" ht="15.75" thickBot="1" x14ac:dyDescent="0.3">
      <c r="B6" s="1051"/>
      <c r="C6" s="376" t="s">
        <v>70</v>
      </c>
      <c r="D6" s="376" t="s">
        <v>94</v>
      </c>
      <c r="E6" s="376" t="s">
        <v>71</v>
      </c>
      <c r="F6" s="376" t="s">
        <v>95</v>
      </c>
      <c r="G6" s="376" t="s">
        <v>73</v>
      </c>
      <c r="H6" s="376" t="s">
        <v>130</v>
      </c>
      <c r="I6" s="377" t="s">
        <v>131</v>
      </c>
      <c r="J6" s="376" t="s">
        <v>75</v>
      </c>
      <c r="K6" s="378" t="s">
        <v>132</v>
      </c>
      <c r="L6" s="138" t="s">
        <v>103</v>
      </c>
      <c r="M6" s="138" t="s">
        <v>133</v>
      </c>
      <c r="N6" s="139"/>
    </row>
    <row r="7" spans="2:14" x14ac:dyDescent="0.25">
      <c r="B7" s="379" t="s">
        <v>45</v>
      </c>
      <c r="C7" s="380">
        <v>3.65</v>
      </c>
      <c r="D7" s="381">
        <f>$D$27*C7/100</f>
        <v>1608902.6625000001</v>
      </c>
      <c r="E7" s="152">
        <f>'Predial y Agua'!G7</f>
        <v>14028777</v>
      </c>
      <c r="F7" s="382">
        <f>E7/$E$27*100</f>
        <v>1.5145741688944119</v>
      </c>
      <c r="G7" s="152">
        <f>'CENSO 2020'!C10</f>
        <v>37232</v>
      </c>
      <c r="H7" s="152">
        <f>F7*G7</f>
        <v>56390.625456276743</v>
      </c>
      <c r="I7" s="383">
        <f>H7/H$27*100</f>
        <v>0.22587269026860743</v>
      </c>
      <c r="J7" s="384">
        <f>$J$27*I7/100</f>
        <v>108060.55893107715</v>
      </c>
      <c r="K7" s="385">
        <f t="shared" ref="K7:K26" si="0">D7+J7</f>
        <v>1716963.2214310772</v>
      </c>
      <c r="L7" s="140">
        <f>I7</f>
        <v>0.22587269026860743</v>
      </c>
      <c r="M7" s="139">
        <v>0.307836</v>
      </c>
      <c r="N7" s="140">
        <f>L7-M7</f>
        <v>-8.196330973139257E-2</v>
      </c>
    </row>
    <row r="8" spans="2:14" x14ac:dyDescent="0.25">
      <c r="B8" s="386" t="s">
        <v>46</v>
      </c>
      <c r="C8" s="380">
        <v>1.49</v>
      </c>
      <c r="D8" s="381">
        <f t="shared" ref="D8:D26" si="1">$D$27*C8/100</f>
        <v>656784.92249999999</v>
      </c>
      <c r="E8" s="152">
        <f>'Predial y Agua'!G8</f>
        <v>7263911</v>
      </c>
      <c r="F8" s="382">
        <f t="shared" ref="F8:F26" si="2">E8/$E$27*100</f>
        <v>0.78422602096732841</v>
      </c>
      <c r="G8" s="152">
        <f>'CENSO 2020'!C11</f>
        <v>15393</v>
      </c>
      <c r="H8" s="152">
        <f t="shared" ref="H8:H26" si="3">F8*G8</f>
        <v>12071.591140750086</v>
      </c>
      <c r="I8" s="383">
        <f t="shared" ref="I8:I27" si="4">H8/H$27*100</f>
        <v>4.8352766877857202E-2</v>
      </c>
      <c r="J8" s="384">
        <f t="shared" ref="J8:J26" si="5">$J$27*I8/100</f>
        <v>23132.619567561396</v>
      </c>
      <c r="K8" s="385">
        <f t="shared" si="0"/>
        <v>679917.54206756142</v>
      </c>
      <c r="L8" s="140">
        <f t="shared" ref="L8:L26" si="6">I8</f>
        <v>4.8352766877857202E-2</v>
      </c>
      <c r="M8" s="139">
        <v>5.7023999999999998E-2</v>
      </c>
      <c r="N8" s="140">
        <f t="shared" ref="N8:N26" si="7">L8-M8</f>
        <v>-8.6712331221427963E-3</v>
      </c>
    </row>
    <row r="9" spans="2:14" x14ac:dyDescent="0.25">
      <c r="B9" s="386" t="s">
        <v>47</v>
      </c>
      <c r="C9" s="380">
        <v>1.0900000000000001</v>
      </c>
      <c r="D9" s="381">
        <f t="shared" si="1"/>
        <v>480466.82250000001</v>
      </c>
      <c r="E9" s="152">
        <f>'Predial y Agua'!G9</f>
        <v>4050881</v>
      </c>
      <c r="F9" s="382">
        <f t="shared" si="2"/>
        <v>0.43734102579755624</v>
      </c>
      <c r="G9" s="152">
        <f>'CENSO 2020'!C12</f>
        <v>11536</v>
      </c>
      <c r="H9" s="152">
        <f t="shared" si="3"/>
        <v>5045.1660736006088</v>
      </c>
      <c r="I9" s="383">
        <f t="shared" si="4"/>
        <v>2.0208416286846373E-2</v>
      </c>
      <c r="J9" s="384">
        <f t="shared" si="5"/>
        <v>9667.9804737421327</v>
      </c>
      <c r="K9" s="385">
        <f t="shared" si="0"/>
        <v>490134.80297374213</v>
      </c>
      <c r="L9" s="140">
        <f t="shared" si="6"/>
        <v>2.0208416286846373E-2</v>
      </c>
      <c r="M9" s="139">
        <v>3.8598E-2</v>
      </c>
      <c r="N9" s="140">
        <f t="shared" si="7"/>
        <v>-1.8389583713153627E-2</v>
      </c>
    </row>
    <row r="10" spans="2:14" x14ac:dyDescent="0.25">
      <c r="B10" s="386" t="s">
        <v>48</v>
      </c>
      <c r="C10" s="380">
        <v>8.82</v>
      </c>
      <c r="D10" s="381">
        <f t="shared" si="1"/>
        <v>3887814.105</v>
      </c>
      <c r="E10" s="152">
        <f>'Predial y Agua'!G10</f>
        <v>347694330</v>
      </c>
      <c r="F10" s="382">
        <f t="shared" si="2"/>
        <v>37.53775905690491</v>
      </c>
      <c r="G10" s="152">
        <f>'CENSO 2020'!C13</f>
        <v>187632</v>
      </c>
      <c r="H10" s="152">
        <f t="shared" si="3"/>
        <v>7043284.8073651819</v>
      </c>
      <c r="I10" s="383">
        <f t="shared" si="4"/>
        <v>28.211882292405132</v>
      </c>
      <c r="J10" s="384">
        <f t="shared" si="5"/>
        <v>13496947.175816944</v>
      </c>
      <c r="K10" s="385">
        <f t="shared" si="0"/>
        <v>17384761.280816942</v>
      </c>
      <c r="L10" s="140">
        <f t="shared" si="6"/>
        <v>28.211882292405132</v>
      </c>
      <c r="M10" s="139">
        <v>27.722322999999999</v>
      </c>
      <c r="N10" s="140">
        <f t="shared" si="7"/>
        <v>0.48955929240513285</v>
      </c>
    </row>
    <row r="11" spans="2:14" x14ac:dyDescent="0.25">
      <c r="B11" s="386" t="s">
        <v>49</v>
      </c>
      <c r="C11" s="380">
        <v>6.63</v>
      </c>
      <c r="D11" s="381">
        <f t="shared" si="1"/>
        <v>2922472.5074999998</v>
      </c>
      <c r="E11" s="152">
        <f>'Predial y Agua'!G11</f>
        <v>69257630</v>
      </c>
      <c r="F11" s="382">
        <f t="shared" si="2"/>
        <v>7.4771890234513441</v>
      </c>
      <c r="G11" s="152">
        <f>'CENSO 2020'!C14</f>
        <v>77436</v>
      </c>
      <c r="H11" s="152">
        <f t="shared" si="3"/>
        <v>579003.60921997833</v>
      </c>
      <c r="I11" s="383">
        <f t="shared" si="4"/>
        <v>2.3191993674755906</v>
      </c>
      <c r="J11" s="384">
        <f t="shared" si="5"/>
        <v>1109536.4367599427</v>
      </c>
      <c r="K11" s="385">
        <f t="shared" si="0"/>
        <v>4032008.9442599425</v>
      </c>
      <c r="L11" s="140">
        <f t="shared" si="6"/>
        <v>2.3191993674755906</v>
      </c>
      <c r="M11" s="139">
        <v>1.5035639999999999</v>
      </c>
      <c r="N11" s="140">
        <f t="shared" si="7"/>
        <v>0.81563536747559073</v>
      </c>
    </row>
    <row r="12" spans="2:14" x14ac:dyDescent="0.25">
      <c r="B12" s="386" t="s">
        <v>50</v>
      </c>
      <c r="C12" s="380">
        <v>3.22</v>
      </c>
      <c r="D12" s="381">
        <f t="shared" si="1"/>
        <v>1419360.7050000001</v>
      </c>
      <c r="E12" s="152">
        <f>'Predial y Agua'!G12</f>
        <v>111898</v>
      </c>
      <c r="F12" s="382">
        <f t="shared" si="2"/>
        <v>1.2080726662840737E-2</v>
      </c>
      <c r="G12" s="152">
        <f>'CENSO 2020'!C15</f>
        <v>47550</v>
      </c>
      <c r="H12" s="152">
        <f t="shared" si="3"/>
        <v>574.43855281807703</v>
      </c>
      <c r="I12" s="383">
        <f t="shared" si="4"/>
        <v>2.3009140308193256E-3</v>
      </c>
      <c r="J12" s="384">
        <f t="shared" si="5"/>
        <v>1100.7884836675651</v>
      </c>
      <c r="K12" s="385">
        <f t="shared" si="0"/>
        <v>1420461.4934836677</v>
      </c>
      <c r="L12" s="140">
        <f t="shared" si="6"/>
        <v>2.3009140308193256E-3</v>
      </c>
      <c r="M12" s="139">
        <v>1.0524E-2</v>
      </c>
      <c r="N12" s="140">
        <f t="shared" si="7"/>
        <v>-8.2230859691806747E-3</v>
      </c>
    </row>
    <row r="13" spans="2:14" x14ac:dyDescent="0.25">
      <c r="B13" s="386" t="s">
        <v>51</v>
      </c>
      <c r="C13" s="380">
        <v>1.1100000000000001</v>
      </c>
      <c r="D13" s="381">
        <f t="shared" si="1"/>
        <v>489282.7275000001</v>
      </c>
      <c r="E13" s="152">
        <f>'Predial y Agua'!G13</f>
        <v>204897</v>
      </c>
      <c r="F13" s="382">
        <f t="shared" si="2"/>
        <v>2.2121080368157416E-2</v>
      </c>
      <c r="G13" s="152">
        <f>'CENSO 2020'!C16</f>
        <v>12230</v>
      </c>
      <c r="H13" s="152">
        <f t="shared" si="3"/>
        <v>270.54081290256516</v>
      </c>
      <c r="I13" s="383">
        <f t="shared" si="4"/>
        <v>1.0836514180027873E-3</v>
      </c>
      <c r="J13" s="384">
        <f t="shared" si="5"/>
        <v>518.4335378331059</v>
      </c>
      <c r="K13" s="385">
        <f t="shared" si="0"/>
        <v>489801.1610378332</v>
      </c>
      <c r="L13" s="140">
        <f t="shared" si="6"/>
        <v>1.0836514180027873E-3</v>
      </c>
      <c r="M13" s="139">
        <v>6.78E-4</v>
      </c>
      <c r="N13" s="140">
        <f t="shared" si="7"/>
        <v>4.0565141800278726E-4</v>
      </c>
    </row>
    <row r="14" spans="2:14" x14ac:dyDescent="0.25">
      <c r="B14" s="386" t="s">
        <v>52</v>
      </c>
      <c r="C14" s="380">
        <v>2.71</v>
      </c>
      <c r="D14" s="381">
        <f t="shared" si="1"/>
        <v>1194555.1274999999</v>
      </c>
      <c r="E14" s="152">
        <f>'Predial y Agua'!G14</f>
        <v>14615438</v>
      </c>
      <c r="F14" s="382">
        <f t="shared" si="2"/>
        <v>1.5779112364447596</v>
      </c>
      <c r="G14" s="152">
        <f>'CENSO 2020'!C17</f>
        <v>29299</v>
      </c>
      <c r="H14" s="152">
        <f t="shared" si="3"/>
        <v>46231.221316595009</v>
      </c>
      <c r="I14" s="383">
        <f t="shared" si="4"/>
        <v>0.18517918978003431</v>
      </c>
      <c r="J14" s="384">
        <f t="shared" si="5"/>
        <v>88592.236300182994</v>
      </c>
      <c r="K14" s="385">
        <f t="shared" si="0"/>
        <v>1283147.3638001829</v>
      </c>
      <c r="L14" s="140">
        <f t="shared" si="6"/>
        <v>0.18517918978003431</v>
      </c>
      <c r="M14" s="139">
        <v>0.364313</v>
      </c>
      <c r="N14" s="140">
        <f t="shared" si="7"/>
        <v>-0.17913381021996569</v>
      </c>
    </row>
    <row r="15" spans="2:14" x14ac:dyDescent="0.25">
      <c r="B15" s="386" t="s">
        <v>53</v>
      </c>
      <c r="C15" s="380">
        <v>1.69</v>
      </c>
      <c r="D15" s="381">
        <f t="shared" si="1"/>
        <v>744943.97250000003</v>
      </c>
      <c r="E15" s="152">
        <f>'Predial y Agua'!G15</f>
        <v>4578677</v>
      </c>
      <c r="F15" s="382">
        <f t="shared" si="2"/>
        <v>0.49432291296033559</v>
      </c>
      <c r="G15" s="152">
        <f>'CENSO 2020'!C18</f>
        <v>19321</v>
      </c>
      <c r="H15" s="152">
        <f t="shared" si="3"/>
        <v>9550.8130013066439</v>
      </c>
      <c r="I15" s="383">
        <f t="shared" si="4"/>
        <v>3.8255788252077323E-2</v>
      </c>
      <c r="J15" s="384">
        <f t="shared" si="5"/>
        <v>18302.088029997485</v>
      </c>
      <c r="K15" s="385">
        <f t="shared" si="0"/>
        <v>763246.06052999757</v>
      </c>
      <c r="L15" s="140">
        <f t="shared" si="6"/>
        <v>3.8255788252077323E-2</v>
      </c>
      <c r="M15" s="139">
        <v>6.7258999999999999E-2</v>
      </c>
      <c r="N15" s="140">
        <f t="shared" si="7"/>
        <v>-2.9003211747922676E-2</v>
      </c>
    </row>
    <row r="16" spans="2:14" x14ac:dyDescent="0.25">
      <c r="B16" s="386" t="s">
        <v>54</v>
      </c>
      <c r="C16" s="380">
        <v>1.27</v>
      </c>
      <c r="D16" s="381">
        <f t="shared" si="1"/>
        <v>559809.96750000003</v>
      </c>
      <c r="E16" s="152">
        <f>'Predial y Agua'!G16</f>
        <v>1103886</v>
      </c>
      <c r="F16" s="382">
        <f t="shared" si="2"/>
        <v>0.1191776889036141</v>
      </c>
      <c r="G16" s="152">
        <f>'CENSO 2020'!C19</f>
        <v>13719</v>
      </c>
      <c r="H16" s="152">
        <f t="shared" si="3"/>
        <v>1634.9987140686819</v>
      </c>
      <c r="I16" s="383">
        <f t="shared" si="4"/>
        <v>6.5489885090696488E-3</v>
      </c>
      <c r="J16" s="384">
        <f t="shared" si="5"/>
        <v>3133.1249381307989</v>
      </c>
      <c r="K16" s="385">
        <f t="shared" si="0"/>
        <v>562943.09243813087</v>
      </c>
      <c r="L16" s="140">
        <f t="shared" si="6"/>
        <v>6.5489885090696488E-3</v>
      </c>
      <c r="M16" s="139">
        <v>7.6290000000000004E-3</v>
      </c>
      <c r="N16" s="140">
        <f t="shared" si="7"/>
        <v>-1.0800114909303516E-3</v>
      </c>
    </row>
    <row r="17" spans="2:20" x14ac:dyDescent="0.25">
      <c r="B17" s="386" t="s">
        <v>55</v>
      </c>
      <c r="C17" s="380">
        <v>3.39</v>
      </c>
      <c r="D17" s="381">
        <f t="shared" si="1"/>
        <v>1494295.8975</v>
      </c>
      <c r="E17" s="152">
        <f>'Predial y Agua'!G17</f>
        <v>2885897</v>
      </c>
      <c r="F17" s="382">
        <f t="shared" si="2"/>
        <v>0.31156707746440593</v>
      </c>
      <c r="G17" s="152">
        <f>'CENSO 2020'!C20</f>
        <v>33567</v>
      </c>
      <c r="H17" s="152">
        <f t="shared" si="3"/>
        <v>10458.372089247714</v>
      </c>
      <c r="I17" s="383">
        <f t="shared" si="4"/>
        <v>4.1891016822647398E-2</v>
      </c>
      <c r="J17" s="384">
        <f t="shared" si="5"/>
        <v>20041.230689124965</v>
      </c>
      <c r="K17" s="385">
        <f t="shared" si="0"/>
        <v>1514337.1281891249</v>
      </c>
      <c r="L17" s="140">
        <f t="shared" si="6"/>
        <v>4.1891016822647398E-2</v>
      </c>
      <c r="M17" s="139">
        <v>5.3082999999999998E-2</v>
      </c>
      <c r="N17" s="140">
        <f t="shared" si="7"/>
        <v>-1.11919831773526E-2</v>
      </c>
    </row>
    <row r="18" spans="2:20" x14ac:dyDescent="0.25">
      <c r="B18" s="386" t="s">
        <v>56</v>
      </c>
      <c r="C18" s="380">
        <v>2.21</v>
      </c>
      <c r="D18" s="381">
        <f t="shared" si="1"/>
        <v>974157.50249999994</v>
      </c>
      <c r="E18" s="152">
        <f>'Predial y Agua'!G18</f>
        <v>2627199</v>
      </c>
      <c r="F18" s="382">
        <f t="shared" si="2"/>
        <v>0.28363753604075603</v>
      </c>
      <c r="G18" s="152">
        <f>'CENSO 2020'!C21</f>
        <v>24096</v>
      </c>
      <c r="H18" s="152">
        <f t="shared" si="3"/>
        <v>6834.5300684380572</v>
      </c>
      <c r="I18" s="383">
        <f t="shared" si="4"/>
        <v>2.7375715037541992E-2</v>
      </c>
      <c r="J18" s="384">
        <f t="shared" si="5"/>
        <v>13096.913418690647</v>
      </c>
      <c r="K18" s="385">
        <f t="shared" si="0"/>
        <v>987254.41591869062</v>
      </c>
      <c r="L18" s="140">
        <f t="shared" si="6"/>
        <v>2.7375715037541992E-2</v>
      </c>
      <c r="M18" s="139">
        <v>4.0325E-2</v>
      </c>
      <c r="N18" s="140">
        <f t="shared" si="7"/>
        <v>-1.2949284962458008E-2</v>
      </c>
    </row>
    <row r="19" spans="2:20" x14ac:dyDescent="0.25">
      <c r="B19" s="386" t="s">
        <v>57</v>
      </c>
      <c r="C19" s="380">
        <v>3.95</v>
      </c>
      <c r="D19" s="381">
        <f t="shared" si="1"/>
        <v>1741141.2375</v>
      </c>
      <c r="E19" s="152">
        <f>'Predial y Agua'!G19</f>
        <v>8987543</v>
      </c>
      <c r="F19" s="382">
        <f t="shared" si="2"/>
        <v>0.9703126986499101</v>
      </c>
      <c r="G19" s="152">
        <f>'CENSO 2020'!C22</f>
        <v>41518</v>
      </c>
      <c r="H19" s="152">
        <f t="shared" si="3"/>
        <v>40285.442622546965</v>
      </c>
      <c r="I19" s="383">
        <f t="shared" si="4"/>
        <v>0.16136336900309145</v>
      </c>
      <c r="J19" s="384">
        <f t="shared" si="5"/>
        <v>77198.424584838649</v>
      </c>
      <c r="K19" s="385">
        <f t="shared" si="0"/>
        <v>1818339.6620848386</v>
      </c>
      <c r="L19" s="140">
        <f t="shared" si="6"/>
        <v>0.16136336900309145</v>
      </c>
      <c r="M19" s="139">
        <v>0.15141299999999999</v>
      </c>
      <c r="N19" s="140">
        <f t="shared" si="7"/>
        <v>9.9503690030914582E-3</v>
      </c>
    </row>
    <row r="20" spans="2:20" x14ac:dyDescent="0.25">
      <c r="B20" s="386" t="s">
        <v>58</v>
      </c>
      <c r="C20" s="380">
        <v>0.75</v>
      </c>
      <c r="D20" s="381">
        <f t="shared" si="1"/>
        <v>330596.4375</v>
      </c>
      <c r="E20" s="152">
        <f>'Predial y Agua'!G20</f>
        <v>2290506</v>
      </c>
      <c r="F20" s="382">
        <f t="shared" si="2"/>
        <v>0.24728750206077574</v>
      </c>
      <c r="G20" s="152">
        <f>'CENSO 2020'!C23</f>
        <v>7683</v>
      </c>
      <c r="H20" s="152">
        <f t="shared" si="3"/>
        <v>1899.90987833294</v>
      </c>
      <c r="I20" s="383">
        <f t="shared" si="4"/>
        <v>7.6100903654580266E-3</v>
      </c>
      <c r="J20" s="384">
        <f t="shared" si="5"/>
        <v>3640.7704598084056</v>
      </c>
      <c r="K20" s="385">
        <f t="shared" si="0"/>
        <v>334237.20795980841</v>
      </c>
      <c r="L20" s="140">
        <f t="shared" si="6"/>
        <v>7.6100903654580266E-3</v>
      </c>
      <c r="M20" s="139">
        <v>7.8689999999999993E-3</v>
      </c>
      <c r="N20" s="140">
        <f t="shared" si="7"/>
        <v>-2.5890963454197266E-4</v>
      </c>
    </row>
    <row r="21" spans="2:20" x14ac:dyDescent="0.25">
      <c r="B21" s="386" t="s">
        <v>59</v>
      </c>
      <c r="C21" s="380">
        <v>2.2799999999999998</v>
      </c>
      <c r="D21" s="381">
        <f t="shared" si="1"/>
        <v>1005013.1699999998</v>
      </c>
      <c r="E21" s="152">
        <f>'Predial y Agua'!G21</f>
        <v>4665876</v>
      </c>
      <c r="F21" s="382">
        <f t="shared" si="2"/>
        <v>0.50373708733586553</v>
      </c>
      <c r="G21" s="152">
        <f>'CENSO 2020'!C24</f>
        <v>24911</v>
      </c>
      <c r="H21" s="152">
        <f t="shared" si="3"/>
        <v>12548.594582623746</v>
      </c>
      <c r="I21" s="383">
        <f t="shared" si="4"/>
        <v>5.0263404502668231E-2</v>
      </c>
      <c r="J21" s="384">
        <f t="shared" si="5"/>
        <v>24046.694524592716</v>
      </c>
      <c r="K21" s="385">
        <f t="shared" si="0"/>
        <v>1029059.8645245925</v>
      </c>
      <c r="L21" s="140">
        <f t="shared" si="6"/>
        <v>5.0263404502668231E-2</v>
      </c>
      <c r="M21" s="139">
        <v>8.7175000000000002E-2</v>
      </c>
      <c r="N21" s="140">
        <f t="shared" si="7"/>
        <v>-3.6911595497331771E-2</v>
      </c>
    </row>
    <row r="22" spans="2:20" x14ac:dyDescent="0.25">
      <c r="B22" s="386" t="s">
        <v>60</v>
      </c>
      <c r="C22" s="380">
        <v>8.8800000000000008</v>
      </c>
      <c r="D22" s="381">
        <f t="shared" si="1"/>
        <v>3914261.8200000008</v>
      </c>
      <c r="E22" s="152">
        <f>'Predial y Agua'!G22</f>
        <v>26816798</v>
      </c>
      <c r="F22" s="382">
        <f t="shared" si="2"/>
        <v>2.8951938963217767</v>
      </c>
      <c r="G22" s="152">
        <f>'CENSO 2020'!C25</f>
        <v>93981</v>
      </c>
      <c r="H22" s="152">
        <f t="shared" si="3"/>
        <v>272093.21757021692</v>
      </c>
      <c r="I22" s="383">
        <f t="shared" si="4"/>
        <v>1.0898695760003418</v>
      </c>
      <c r="J22" s="384">
        <f t="shared" si="5"/>
        <v>521408.38896689465</v>
      </c>
      <c r="K22" s="385">
        <f t="shared" si="0"/>
        <v>4435670.208966895</v>
      </c>
      <c r="L22" s="140">
        <f t="shared" si="6"/>
        <v>1.0898695760003418</v>
      </c>
      <c r="M22" s="139">
        <v>1.2821199999999999</v>
      </c>
      <c r="N22" s="140">
        <f t="shared" si="7"/>
        <v>-0.19225042399965808</v>
      </c>
    </row>
    <row r="23" spans="2:20" x14ac:dyDescent="0.25">
      <c r="B23" s="386" t="s">
        <v>61</v>
      </c>
      <c r="C23" s="380">
        <v>3.92</v>
      </c>
      <c r="D23" s="381">
        <f t="shared" si="1"/>
        <v>1727917.38</v>
      </c>
      <c r="E23" s="152">
        <f>'Predial y Agua'!G23</f>
        <v>10903968</v>
      </c>
      <c r="F23" s="382">
        <f t="shared" si="2"/>
        <v>1.177213685216556</v>
      </c>
      <c r="G23" s="152">
        <f>'CENSO 2020'!C26</f>
        <v>37135</v>
      </c>
      <c r="H23" s="152">
        <f t="shared" si="3"/>
        <v>43715.830200516808</v>
      </c>
      <c r="I23" s="383">
        <f t="shared" si="4"/>
        <v>0.17510378888016548</v>
      </c>
      <c r="J23" s="384">
        <f t="shared" si="5"/>
        <v>83772.02783939139</v>
      </c>
      <c r="K23" s="385">
        <f t="shared" si="0"/>
        <v>1811689.4078393914</v>
      </c>
      <c r="L23" s="140">
        <f t="shared" si="6"/>
        <v>0.17510378888016548</v>
      </c>
      <c r="M23" s="139">
        <v>0.39474799999999999</v>
      </c>
      <c r="N23" s="140">
        <f t="shared" si="7"/>
        <v>-0.21964421111983451</v>
      </c>
    </row>
    <row r="24" spans="2:20" x14ac:dyDescent="0.25">
      <c r="B24" s="386" t="s">
        <v>62</v>
      </c>
      <c r="C24" s="380">
        <v>35.42</v>
      </c>
      <c r="D24" s="381">
        <f t="shared" si="1"/>
        <v>15612967.755000001</v>
      </c>
      <c r="E24" s="152">
        <f>'Predial y Agua'!G24</f>
        <v>359149165.05000001</v>
      </c>
      <c r="F24" s="382">
        <f t="shared" si="2"/>
        <v>38.774445424909501</v>
      </c>
      <c r="G24" s="152">
        <f>'CENSO 2020'!C27</f>
        <v>425924</v>
      </c>
      <c r="H24" s="152">
        <f t="shared" si="3"/>
        <v>16514966.893159155</v>
      </c>
      <c r="I24" s="383">
        <f t="shared" si="4"/>
        <v>66.150711606261012</v>
      </c>
      <c r="J24" s="384">
        <f t="shared" si="5"/>
        <v>31647397.750300538</v>
      </c>
      <c r="K24" s="385">
        <f t="shared" si="0"/>
        <v>47260365.505300537</v>
      </c>
      <c r="L24" s="140">
        <f t="shared" si="6"/>
        <v>66.150711606261012</v>
      </c>
      <c r="M24" s="139">
        <v>66.428610000000006</v>
      </c>
      <c r="N24" s="140">
        <f t="shared" si="7"/>
        <v>-0.27789839373899383</v>
      </c>
    </row>
    <row r="25" spans="2:20" x14ac:dyDescent="0.25">
      <c r="B25" s="386" t="s">
        <v>63</v>
      </c>
      <c r="C25" s="380">
        <v>3</v>
      </c>
      <c r="D25" s="381">
        <f t="shared" si="1"/>
        <v>1322385.75</v>
      </c>
      <c r="E25" s="152">
        <f>'Predial y Agua'!G25</f>
        <v>2159731</v>
      </c>
      <c r="F25" s="382">
        <f t="shared" si="2"/>
        <v>0.23316877760338603</v>
      </c>
      <c r="G25" s="152">
        <f>'CENSO 2020'!C28</f>
        <v>30064</v>
      </c>
      <c r="H25" s="152">
        <f t="shared" si="3"/>
        <v>7009.9861298681972</v>
      </c>
      <c r="I25" s="383">
        <f t="shared" si="4"/>
        <v>2.8078504416068892E-2</v>
      </c>
      <c r="J25" s="384">
        <f t="shared" si="5"/>
        <v>13433.137390540138</v>
      </c>
      <c r="K25" s="385">
        <f t="shared" si="0"/>
        <v>1335818.8873905402</v>
      </c>
      <c r="L25" s="140">
        <f t="shared" si="6"/>
        <v>2.8078504416068892E-2</v>
      </c>
      <c r="M25" s="139">
        <v>4.3832000000000003E-2</v>
      </c>
      <c r="N25" s="140">
        <f t="shared" si="7"/>
        <v>-1.5753495583931111E-2</v>
      </c>
    </row>
    <row r="26" spans="2:20" ht="15.75" thickBot="1" x14ac:dyDescent="0.3">
      <c r="B26" s="386" t="s">
        <v>64</v>
      </c>
      <c r="C26" s="387">
        <v>4.5199999999999996</v>
      </c>
      <c r="D26" s="388">
        <f t="shared" si="1"/>
        <v>1992394.5299999998</v>
      </c>
      <c r="E26" s="156">
        <f>'Predial y Agua'!G26</f>
        <v>42855221</v>
      </c>
      <c r="F26" s="389">
        <f t="shared" si="2"/>
        <v>4.6267333730418079</v>
      </c>
      <c r="G26" s="152">
        <f>'CENSO 2020'!C29</f>
        <v>65229</v>
      </c>
      <c r="H26" s="156">
        <f t="shared" si="3"/>
        <v>301797.19119014411</v>
      </c>
      <c r="I26" s="390">
        <f t="shared" si="4"/>
        <v>1.2088488634069492</v>
      </c>
      <c r="J26" s="391">
        <f t="shared" si="5"/>
        <v>578329.69398650457</v>
      </c>
      <c r="K26" s="392">
        <f t="shared" si="0"/>
        <v>2570724.2239865046</v>
      </c>
      <c r="L26" s="140">
        <f t="shared" si="6"/>
        <v>1.2088488634069492</v>
      </c>
      <c r="M26" s="139">
        <v>1.431076</v>
      </c>
      <c r="N26" s="140">
        <f t="shared" si="7"/>
        <v>-0.22222713659305082</v>
      </c>
    </row>
    <row r="27" spans="2:20" ht="15.75" thickBot="1" x14ac:dyDescent="0.3">
      <c r="B27" s="393" t="s">
        <v>65</v>
      </c>
      <c r="C27" s="394">
        <f t="shared" ref="C27:H27" si="8">SUM(C7:C26)</f>
        <v>100.00000000000001</v>
      </c>
      <c r="D27" s="395">
        <f>Datos!K35</f>
        <v>44079525</v>
      </c>
      <c r="E27" s="396">
        <f t="shared" si="8"/>
        <v>926252229.04999995</v>
      </c>
      <c r="F27" s="397">
        <f t="shared" si="8"/>
        <v>100</v>
      </c>
      <c r="G27" s="116">
        <f t="shared" si="8"/>
        <v>1235456</v>
      </c>
      <c r="H27" s="116">
        <f t="shared" si="8"/>
        <v>24965667.779144574</v>
      </c>
      <c r="I27" s="327">
        <f t="shared" si="4"/>
        <v>100</v>
      </c>
      <c r="J27" s="398">
        <f>Datos!K36</f>
        <v>47841356.475000009</v>
      </c>
      <c r="K27" s="399">
        <f>SUM(K7:K26)</f>
        <v>91920881.474999994</v>
      </c>
      <c r="L27" s="141">
        <f t="shared" ref="L27:N27" si="9">SUM(L7:L26)</f>
        <v>99.999999999999972</v>
      </c>
      <c r="M27" s="141">
        <f t="shared" si="9"/>
        <v>99.999999000000003</v>
      </c>
      <c r="N27" s="141">
        <f t="shared" si="9"/>
        <v>9.9999997663080542E-7</v>
      </c>
    </row>
    <row r="28" spans="2:20" x14ac:dyDescent="0.25">
      <c r="B28" s="1045" t="s">
        <v>287</v>
      </c>
      <c r="C28" s="1045"/>
      <c r="D28" s="1045"/>
      <c r="E28" s="1045"/>
      <c r="F28" s="1045"/>
      <c r="G28" s="1045"/>
      <c r="H28" s="83"/>
      <c r="I28" s="5"/>
    </row>
    <row r="29" spans="2:20" x14ac:dyDescent="0.25">
      <c r="B29" s="1047" t="s">
        <v>286</v>
      </c>
      <c r="C29" s="1047"/>
      <c r="D29" s="1047"/>
      <c r="E29" s="1047"/>
      <c r="F29" s="1047"/>
      <c r="G29" s="1047"/>
      <c r="H29" s="1047"/>
      <c r="I29" s="1047"/>
      <c r="J29" s="1047"/>
      <c r="K29" s="1047"/>
    </row>
    <row r="30" spans="2:20" ht="41.25" customHeight="1" x14ac:dyDescent="0.25">
      <c r="B30" s="1046" t="s">
        <v>289</v>
      </c>
      <c r="C30" s="1046"/>
      <c r="D30" s="1046"/>
      <c r="E30" s="1046"/>
      <c r="F30" s="1046"/>
      <c r="G30" s="1046"/>
      <c r="H30" s="1046"/>
      <c r="I30" s="1046"/>
      <c r="J30" s="1046"/>
      <c r="K30" s="1046"/>
    </row>
    <row r="31" spans="2:20" ht="15" customHeight="1" x14ac:dyDescent="0.25">
      <c r="B31" s="1048" t="s">
        <v>338</v>
      </c>
      <c r="C31" s="1004"/>
      <c r="D31" s="1004"/>
      <c r="E31" s="1004"/>
      <c r="F31" s="1004"/>
      <c r="G31" s="1004"/>
      <c r="H31" s="1004"/>
      <c r="I31" s="1004"/>
      <c r="J31" s="1004"/>
      <c r="K31" s="1004"/>
      <c r="L31" s="482"/>
      <c r="M31" s="482"/>
      <c r="N31" s="482"/>
      <c r="O31" s="482"/>
      <c r="P31" s="482"/>
      <c r="Q31" s="482"/>
      <c r="R31" s="482"/>
      <c r="S31" s="482"/>
      <c r="T31" s="482"/>
    </row>
    <row r="32" spans="2:20" ht="23.25" customHeight="1" x14ac:dyDescent="0.25">
      <c r="B32" s="1004" t="s">
        <v>290</v>
      </c>
      <c r="C32" s="1004"/>
      <c r="D32" s="1004"/>
      <c r="E32" s="1004"/>
      <c r="F32" s="1004"/>
      <c r="G32" s="1004"/>
      <c r="H32" s="1004"/>
      <c r="I32" s="1004"/>
      <c r="J32" s="1004"/>
      <c r="K32" s="1004"/>
      <c r="L32" s="482"/>
      <c r="M32" s="482"/>
      <c r="N32" s="482"/>
      <c r="O32" s="482"/>
      <c r="P32" s="482"/>
      <c r="Q32" s="482"/>
      <c r="R32" s="482"/>
      <c r="S32" s="482"/>
      <c r="T32" s="482"/>
    </row>
    <row r="33" spans="2:11" ht="24.75" customHeight="1" x14ac:dyDescent="0.25">
      <c r="B33" s="1046"/>
      <c r="C33" s="1046"/>
      <c r="D33" s="1046"/>
      <c r="E33" s="1046"/>
      <c r="F33" s="1046"/>
      <c r="G33" s="1046"/>
      <c r="H33" s="1046"/>
      <c r="I33" s="1046"/>
      <c r="J33" s="1046"/>
      <c r="K33" s="1046"/>
    </row>
    <row r="34" spans="2:11" x14ac:dyDescent="0.25">
      <c r="F34" s="1044"/>
      <c r="G34" s="1044"/>
      <c r="H34" s="1044"/>
      <c r="I34" s="1044"/>
      <c r="J34" s="1044"/>
      <c r="K34" s="1044"/>
    </row>
  </sheetData>
  <mergeCells count="18">
    <mergeCell ref="B1:K1"/>
    <mergeCell ref="B3:B6"/>
    <mergeCell ref="E3:E5"/>
    <mergeCell ref="G3:G5"/>
    <mergeCell ref="H3:H5"/>
    <mergeCell ref="I3:I5"/>
    <mergeCell ref="J3:J5"/>
    <mergeCell ref="K3:K5"/>
    <mergeCell ref="F3:F5"/>
    <mergeCell ref="D3:D5"/>
    <mergeCell ref="C3:C5"/>
    <mergeCell ref="F34:K34"/>
    <mergeCell ref="B28:G28"/>
    <mergeCell ref="B33:K33"/>
    <mergeCell ref="B29:K29"/>
    <mergeCell ref="B30:K30"/>
    <mergeCell ref="B31:K31"/>
    <mergeCell ref="B32:K32"/>
  </mergeCells>
  <pageMargins left="0.70866141732283472" right="0.36" top="0.74803149606299213" bottom="0.74803149606299213" header="0.31496062992125984" footer="0.31496062992125984"/>
  <pageSetup scale="92" orientation="landscape" r:id="rId1"/>
  <ignoredErrors>
    <ignoredError sqref="C6:G6 J6" numberStoredAsText="1"/>
  </ignoredError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8"/>
      <c r="C2" s="8"/>
      <c r="D2" s="8"/>
      <c r="E2" s="8"/>
      <c r="F2" s="8"/>
      <c r="G2" s="8"/>
      <c r="H2" s="8"/>
      <c r="I2" s="8"/>
      <c r="J2" s="8"/>
      <c r="K2" s="57"/>
      <c r="L2" s="57"/>
      <c r="M2" s="220" t="s">
        <v>210</v>
      </c>
      <c r="N2" s="8"/>
      <c r="O2" s="8"/>
      <c r="P2" s="8"/>
      <c r="Q2" s="8"/>
      <c r="R2" s="8"/>
      <c r="S2" s="8"/>
      <c r="T2" s="8"/>
      <c r="U2" s="8"/>
    </row>
    <row r="3" spans="2:21" x14ac:dyDescent="0.25">
      <c r="B3" s="942" t="s">
        <v>0</v>
      </c>
      <c r="C3" s="942"/>
      <c r="D3" s="942"/>
      <c r="E3" s="942"/>
      <c r="F3" s="942"/>
      <c r="G3" s="942"/>
      <c r="H3" s="942"/>
      <c r="I3" s="942"/>
      <c r="J3" s="942"/>
      <c r="K3" s="942"/>
      <c r="L3" s="942"/>
      <c r="M3" s="942"/>
      <c r="N3" s="8"/>
      <c r="O3" s="8"/>
      <c r="P3" s="8"/>
      <c r="Q3" s="8"/>
      <c r="R3" s="8"/>
      <c r="S3" s="8"/>
      <c r="T3" s="8"/>
      <c r="U3" s="8"/>
    </row>
    <row r="4" spans="2:21" ht="15.75" thickBot="1" x14ac:dyDescent="0.3">
      <c r="B4" s="1018" t="s">
        <v>211</v>
      </c>
      <c r="C4" s="1018"/>
      <c r="D4" s="1018"/>
      <c r="E4" s="1018"/>
      <c r="F4" s="1018"/>
      <c r="G4" s="1018"/>
      <c r="H4" s="1018"/>
      <c r="I4" s="1018"/>
      <c r="J4" s="1018"/>
      <c r="K4" s="1018"/>
      <c r="L4" s="1018"/>
      <c r="M4" s="1018"/>
      <c r="N4" s="8"/>
      <c r="O4" s="8"/>
      <c r="P4" s="8"/>
      <c r="Q4" s="8"/>
      <c r="R4" s="8"/>
      <c r="S4" s="8"/>
      <c r="T4" s="8"/>
      <c r="U4" s="8"/>
    </row>
    <row r="5" spans="2:21" x14ac:dyDescent="0.25">
      <c r="B5" s="1255" t="s">
        <v>83</v>
      </c>
      <c r="C5" s="1257" t="s">
        <v>212</v>
      </c>
      <c r="D5" s="1257"/>
      <c r="E5" s="1257" t="s">
        <v>213</v>
      </c>
      <c r="F5" s="1257"/>
      <c r="G5" s="255" t="s">
        <v>214</v>
      </c>
      <c r="H5" s="255" t="s">
        <v>134</v>
      </c>
      <c r="I5" s="256"/>
      <c r="J5" s="256"/>
      <c r="K5" s="256" t="s">
        <v>29</v>
      </c>
      <c r="L5" s="256" t="s">
        <v>22</v>
      </c>
      <c r="M5" s="257" t="s">
        <v>82</v>
      </c>
      <c r="N5" s="129"/>
      <c r="O5" s="129"/>
      <c r="P5" s="129"/>
      <c r="Q5" s="135"/>
      <c r="R5" s="8"/>
      <c r="S5" s="8"/>
      <c r="T5" s="8"/>
      <c r="U5" s="8"/>
    </row>
    <row r="6" spans="2:21" x14ac:dyDescent="0.25">
      <c r="B6" s="1256"/>
      <c r="C6" s="1165" t="s">
        <v>69</v>
      </c>
      <c r="D6" s="1165"/>
      <c r="E6" s="1258" t="s">
        <v>129</v>
      </c>
      <c r="F6" s="1258"/>
      <c r="G6" s="235" t="s">
        <v>215</v>
      </c>
      <c r="H6" s="235" t="s">
        <v>216</v>
      </c>
      <c r="I6" s="258"/>
      <c r="J6" s="258"/>
      <c r="K6" s="258" t="s">
        <v>35</v>
      </c>
      <c r="L6" s="258" t="s">
        <v>217</v>
      </c>
      <c r="M6" s="259" t="s">
        <v>218</v>
      </c>
      <c r="N6" s="129"/>
      <c r="O6" s="129"/>
      <c r="P6" s="129"/>
      <c r="Q6" s="135"/>
      <c r="R6" s="8"/>
      <c r="S6" s="99"/>
      <c r="T6" s="260"/>
      <c r="U6" s="8"/>
    </row>
    <row r="7" spans="2:21" x14ac:dyDescent="0.25">
      <c r="B7" s="1256"/>
      <c r="C7" s="225" t="s">
        <v>134</v>
      </c>
      <c r="D7" s="225" t="s">
        <v>219</v>
      </c>
      <c r="E7" s="221" t="s">
        <v>134</v>
      </c>
      <c r="F7" s="221" t="s">
        <v>220</v>
      </c>
      <c r="G7" s="235"/>
      <c r="H7" s="235" t="s">
        <v>221</v>
      </c>
      <c r="I7" s="258"/>
      <c r="J7" s="258"/>
      <c r="K7" s="258" t="s">
        <v>43</v>
      </c>
      <c r="L7" s="258" t="s">
        <v>42</v>
      </c>
      <c r="M7" s="259" t="s">
        <v>222</v>
      </c>
      <c r="N7" s="129"/>
      <c r="O7" s="129"/>
      <c r="P7" s="129"/>
      <c r="Q7" s="135"/>
      <c r="R7" s="8"/>
      <c r="S7" s="99"/>
      <c r="T7" s="260"/>
      <c r="U7" s="8"/>
    </row>
    <row r="8" spans="2:21" x14ac:dyDescent="0.25">
      <c r="B8" s="1256"/>
      <c r="C8" s="261" t="s">
        <v>223</v>
      </c>
      <c r="D8" s="261" t="s">
        <v>94</v>
      </c>
      <c r="E8" s="261" t="s">
        <v>71</v>
      </c>
      <c r="F8" s="261" t="s">
        <v>95</v>
      </c>
      <c r="G8" s="262" t="s">
        <v>142</v>
      </c>
      <c r="H8" s="262" t="s">
        <v>97</v>
      </c>
      <c r="I8" s="263"/>
      <c r="J8" s="263"/>
      <c r="K8" s="264"/>
      <c r="L8" s="264"/>
      <c r="M8" s="265"/>
      <c r="N8" s="8"/>
      <c r="O8" s="8"/>
      <c r="P8" s="8"/>
      <c r="Q8" s="8"/>
      <c r="R8" s="8"/>
      <c r="S8" s="99"/>
      <c r="T8" s="260"/>
      <c r="U8" s="8"/>
    </row>
    <row r="9" spans="2:21" x14ac:dyDescent="0.25">
      <c r="B9" s="132" t="s">
        <v>45</v>
      </c>
      <c r="C9" s="266" t="e">
        <f>#REF!</f>
        <v>#REF!</v>
      </c>
      <c r="D9" s="237" t="e">
        <f>#REF!</f>
        <v>#REF!</v>
      </c>
      <c r="E9" s="144">
        <v>6.3423828522887202</v>
      </c>
      <c r="F9" s="102">
        <f>'FGP 30%'!G9</f>
        <v>14857325.527119715</v>
      </c>
      <c r="G9" s="124" t="e">
        <f t="shared" ref="G9:G28" si="0">D9+F9</f>
        <v>#REF!</v>
      </c>
      <c r="H9" s="236" t="e">
        <f>G9/G$29%</f>
        <v>#REF!</v>
      </c>
      <c r="I9" s="305">
        <v>212240.17867414959</v>
      </c>
      <c r="J9" s="267" t="e">
        <f>I9-G9</f>
        <v>#REF!</v>
      </c>
      <c r="K9" s="268" t="e">
        <f>J9-H9</f>
        <v>#REF!</v>
      </c>
      <c r="L9" s="269" t="e">
        <f>K9/K$29*100</f>
        <v>#REF!</v>
      </c>
      <c r="M9" s="270" t="e">
        <f>D9+F9+K9</f>
        <v>#REF!</v>
      </c>
      <c r="N9" s="260"/>
      <c r="O9" s="260"/>
      <c r="P9" s="260"/>
      <c r="Q9" s="260"/>
      <c r="R9" s="260"/>
      <c r="S9" s="99"/>
      <c r="T9" s="260"/>
      <c r="U9" s="271"/>
    </row>
    <row r="10" spans="2:21" x14ac:dyDescent="0.25">
      <c r="B10" s="132" t="s">
        <v>46</v>
      </c>
      <c r="C10" s="266" t="e">
        <f>#REF!</f>
        <v>#REF!</v>
      </c>
      <c r="D10" s="237" t="e">
        <f>#REF!</f>
        <v>#REF!</v>
      </c>
      <c r="E10" s="144">
        <v>4.8747369734108545</v>
      </c>
      <c r="F10" s="102">
        <f>'FGP 30%'!G10</f>
        <v>13584288.636002062</v>
      </c>
      <c r="G10" s="126" t="e">
        <f t="shared" si="0"/>
        <v>#REF!</v>
      </c>
      <c r="H10" s="143" t="e">
        <f t="shared" ref="H10:H28" si="1">G10/G$29%</f>
        <v>#REF!</v>
      </c>
      <c r="I10" s="305">
        <v>145867.37344216814</v>
      </c>
      <c r="J10" s="267" t="e">
        <f t="shared" ref="J10:K28" si="2">I10-G10</f>
        <v>#REF!</v>
      </c>
      <c r="K10" s="268" t="e">
        <f t="shared" si="2"/>
        <v>#REF!</v>
      </c>
      <c r="L10" s="269" t="e">
        <f t="shared" ref="L10:L28" si="3">K10/K$29*100</f>
        <v>#REF!</v>
      </c>
      <c r="M10" s="272" t="e">
        <f t="shared" ref="M10:M28" si="4">D10+F10+K10</f>
        <v>#REF!</v>
      </c>
      <c r="N10" s="260"/>
      <c r="O10" s="260"/>
      <c r="P10" s="260"/>
      <c r="Q10" s="260"/>
      <c r="R10" s="260"/>
      <c r="S10" s="99"/>
      <c r="T10" s="260"/>
      <c r="U10" s="271"/>
    </row>
    <row r="11" spans="2:21" x14ac:dyDescent="0.25">
      <c r="B11" s="132" t="s">
        <v>47</v>
      </c>
      <c r="C11" s="266" t="e">
        <f>#REF!</f>
        <v>#REF!</v>
      </c>
      <c r="D11" s="237" t="e">
        <f>#REF!</f>
        <v>#REF!</v>
      </c>
      <c r="E11" s="144">
        <v>3.9787441024444163</v>
      </c>
      <c r="F11" s="102">
        <f>'FGP 30%'!G11</f>
        <v>15553176.668108787</v>
      </c>
      <c r="G11" s="126" t="e">
        <f t="shared" si="0"/>
        <v>#REF!</v>
      </c>
      <c r="H11" s="143" t="e">
        <f t="shared" si="1"/>
        <v>#REF!</v>
      </c>
      <c r="I11" s="305">
        <v>130448.22525879936</v>
      </c>
      <c r="J11" s="267" t="e">
        <f t="shared" si="2"/>
        <v>#REF!</v>
      </c>
      <c r="K11" s="268" t="e">
        <f t="shared" si="2"/>
        <v>#REF!</v>
      </c>
      <c r="L11" s="269" t="e">
        <f t="shared" si="3"/>
        <v>#REF!</v>
      </c>
      <c r="M11" s="272" t="e">
        <f t="shared" si="4"/>
        <v>#REF!</v>
      </c>
      <c r="N11" s="260"/>
      <c r="O11" s="260"/>
      <c r="P11" s="260"/>
      <c r="Q11" s="260"/>
      <c r="R11" s="260"/>
      <c r="S11" s="99"/>
      <c r="T11" s="260"/>
      <c r="U11" s="271"/>
    </row>
    <row r="12" spans="2:21" x14ac:dyDescent="0.25">
      <c r="B12" s="132" t="s">
        <v>48</v>
      </c>
      <c r="C12" s="266" t="e">
        <f>#REF!</f>
        <v>#REF!</v>
      </c>
      <c r="D12" s="237" t="e">
        <f>#REF!</f>
        <v>#REF!</v>
      </c>
      <c r="E12" s="144">
        <v>4.7794922547559926</v>
      </c>
      <c r="F12" s="102">
        <f>'FGP 30%'!G12</f>
        <v>13301343.094258649</v>
      </c>
      <c r="G12" s="126" t="e">
        <f t="shared" si="0"/>
        <v>#REF!</v>
      </c>
      <c r="H12" s="143" t="e">
        <f t="shared" si="1"/>
        <v>#REF!</v>
      </c>
      <c r="I12" s="305">
        <v>417649.23433316802</v>
      </c>
      <c r="J12" s="267" t="e">
        <f t="shared" si="2"/>
        <v>#REF!</v>
      </c>
      <c r="K12" s="268" t="e">
        <f t="shared" si="2"/>
        <v>#REF!</v>
      </c>
      <c r="L12" s="269" t="e">
        <f t="shared" si="3"/>
        <v>#REF!</v>
      </c>
      <c r="M12" s="272" t="e">
        <f t="shared" si="4"/>
        <v>#REF!</v>
      </c>
      <c r="N12" s="260"/>
      <c r="O12" s="260"/>
      <c r="P12" s="271"/>
      <c r="Q12" s="260"/>
      <c r="R12" s="271"/>
      <c r="S12" s="99"/>
      <c r="T12" s="260"/>
      <c r="U12" s="271"/>
    </row>
    <row r="13" spans="2:21" x14ac:dyDescent="0.25">
      <c r="B13" s="132" t="s">
        <v>49</v>
      </c>
      <c r="C13" s="266" t="e">
        <f>#REF!</f>
        <v>#REF!</v>
      </c>
      <c r="D13" s="237" t="e">
        <f>#REF!</f>
        <v>#REF!</v>
      </c>
      <c r="E13" s="144">
        <v>4.8396147698123535</v>
      </c>
      <c r="F13" s="102">
        <f>'FGP 30%'!G13</f>
        <v>14986047.541547671</v>
      </c>
      <c r="G13" s="126" t="e">
        <f t="shared" si="0"/>
        <v>#REF!</v>
      </c>
      <c r="H13" s="143" t="e">
        <f t="shared" si="1"/>
        <v>#REF!</v>
      </c>
      <c r="I13" s="305">
        <v>277064.87231006427</v>
      </c>
      <c r="J13" s="267" t="e">
        <f t="shared" si="2"/>
        <v>#REF!</v>
      </c>
      <c r="K13" s="268" t="e">
        <f t="shared" si="2"/>
        <v>#REF!</v>
      </c>
      <c r="L13" s="269" t="e">
        <f t="shared" si="3"/>
        <v>#REF!</v>
      </c>
      <c r="M13" s="272" t="e">
        <f t="shared" si="4"/>
        <v>#REF!</v>
      </c>
      <c r="N13" s="260"/>
      <c r="O13" s="260"/>
      <c r="P13" s="260"/>
      <c r="Q13" s="260"/>
      <c r="R13" s="260"/>
      <c r="S13" s="99"/>
      <c r="T13" s="260"/>
      <c r="U13" s="271"/>
    </row>
    <row r="14" spans="2:21" x14ac:dyDescent="0.25">
      <c r="B14" s="132" t="s">
        <v>50</v>
      </c>
      <c r="C14" s="266" t="e">
        <f>#REF!</f>
        <v>#REF!</v>
      </c>
      <c r="D14" s="237" t="e">
        <f>#REF!</f>
        <v>#REF!</v>
      </c>
      <c r="E14" s="144">
        <v>4.8859352991166247</v>
      </c>
      <c r="F14" s="102">
        <f>'FGP 30%'!G14</f>
        <v>8380467.9479857823</v>
      </c>
      <c r="G14" s="126" t="e">
        <f t="shared" si="0"/>
        <v>#REF!</v>
      </c>
      <c r="H14" s="143" t="e">
        <f t="shared" si="1"/>
        <v>#REF!</v>
      </c>
      <c r="I14" s="305">
        <v>187736.37714703428</v>
      </c>
      <c r="J14" s="267" t="e">
        <f t="shared" si="2"/>
        <v>#REF!</v>
      </c>
      <c r="K14" s="268" t="e">
        <f t="shared" si="2"/>
        <v>#REF!</v>
      </c>
      <c r="L14" s="269" t="e">
        <f t="shared" si="3"/>
        <v>#REF!</v>
      </c>
      <c r="M14" s="272" t="e">
        <f t="shared" si="4"/>
        <v>#REF!</v>
      </c>
      <c r="N14" s="260"/>
      <c r="O14" s="260"/>
      <c r="P14" s="260"/>
      <c r="Q14" s="260"/>
      <c r="R14" s="260"/>
      <c r="S14" s="99"/>
      <c r="T14" s="260"/>
      <c r="U14" s="271"/>
    </row>
    <row r="15" spans="2:21" x14ac:dyDescent="0.25">
      <c r="B15" s="132" t="s">
        <v>51</v>
      </c>
      <c r="C15" s="266" t="e">
        <f>#REF!</f>
        <v>#REF!</v>
      </c>
      <c r="D15" s="237" t="e">
        <f>#REF!</f>
        <v>#REF!</v>
      </c>
      <c r="E15" s="144">
        <v>4.009568855684738</v>
      </c>
      <c r="F15" s="102">
        <f>'FGP 30%'!G15</f>
        <v>17793777.763997547</v>
      </c>
      <c r="G15" s="126" t="e">
        <f t="shared" si="0"/>
        <v>#REF!</v>
      </c>
      <c r="H15" s="143" t="e">
        <f t="shared" si="1"/>
        <v>#REF!</v>
      </c>
      <c r="I15" s="305">
        <v>131008.64234565338</v>
      </c>
      <c r="J15" s="267" t="e">
        <f t="shared" si="2"/>
        <v>#REF!</v>
      </c>
      <c r="K15" s="268" t="e">
        <f t="shared" si="2"/>
        <v>#REF!</v>
      </c>
      <c r="L15" s="269" t="e">
        <f t="shared" si="3"/>
        <v>#REF!</v>
      </c>
      <c r="M15" s="272" t="e">
        <f t="shared" si="4"/>
        <v>#REF!</v>
      </c>
      <c r="N15" s="260"/>
      <c r="O15" s="260"/>
      <c r="P15" s="260"/>
      <c r="Q15" s="260"/>
      <c r="R15" s="260"/>
      <c r="S15" s="99"/>
      <c r="T15" s="260"/>
      <c r="U15" s="271"/>
    </row>
    <row r="16" spans="2:21" x14ac:dyDescent="0.25">
      <c r="B16" s="132" t="s">
        <v>52</v>
      </c>
      <c r="C16" s="266" t="e">
        <f>#REF!</f>
        <v>#REF!</v>
      </c>
      <c r="D16" s="237" t="e">
        <f>#REF!</f>
        <v>#REF!</v>
      </c>
      <c r="E16" s="144">
        <v>7.5369203970102321</v>
      </c>
      <c r="F16" s="102">
        <f>'FGP 30%'!G16</f>
        <v>14224519.605535166</v>
      </c>
      <c r="G16" s="126" t="e">
        <f t="shared" si="0"/>
        <v>#REF!</v>
      </c>
      <c r="H16" s="143" t="e">
        <f t="shared" si="1"/>
        <v>#REF!</v>
      </c>
      <c r="I16" s="305">
        <v>205355.35681466889</v>
      </c>
      <c r="J16" s="267" t="e">
        <f t="shared" si="2"/>
        <v>#REF!</v>
      </c>
      <c r="K16" s="268" t="e">
        <f t="shared" si="2"/>
        <v>#REF!</v>
      </c>
      <c r="L16" s="269" t="e">
        <f t="shared" si="3"/>
        <v>#REF!</v>
      </c>
      <c r="M16" s="272" t="e">
        <f t="shared" si="4"/>
        <v>#REF!</v>
      </c>
      <c r="N16" s="260"/>
      <c r="O16" s="260"/>
      <c r="P16" s="260"/>
      <c r="Q16" s="260"/>
      <c r="R16" s="260"/>
      <c r="S16" s="99"/>
      <c r="T16" s="260"/>
      <c r="U16" s="271"/>
    </row>
    <row r="17" spans="2:21" x14ac:dyDescent="0.25">
      <c r="B17" s="132" t="s">
        <v>53</v>
      </c>
      <c r="C17" s="266" t="e">
        <f>#REF!</f>
        <v>#REF!</v>
      </c>
      <c r="D17" s="237" t="e">
        <f>#REF!</f>
        <v>#REF!</v>
      </c>
      <c r="E17" s="144">
        <v>5.9361538809380185</v>
      </c>
      <c r="F17" s="102">
        <f>'FGP 30%'!G17</f>
        <v>11581474.31542399</v>
      </c>
      <c r="G17" s="126" t="e">
        <f t="shared" si="0"/>
        <v>#REF!</v>
      </c>
      <c r="H17" s="143" t="e">
        <f t="shared" si="1"/>
        <v>#REF!</v>
      </c>
      <c r="I17" s="305">
        <v>162912.99120529165</v>
      </c>
      <c r="J17" s="267" t="e">
        <f t="shared" si="2"/>
        <v>#REF!</v>
      </c>
      <c r="K17" s="268" t="e">
        <f t="shared" si="2"/>
        <v>#REF!</v>
      </c>
      <c r="L17" s="269" t="e">
        <f t="shared" si="3"/>
        <v>#REF!</v>
      </c>
      <c r="M17" s="272" t="e">
        <f t="shared" si="4"/>
        <v>#REF!</v>
      </c>
      <c r="N17" s="260"/>
      <c r="O17" s="260"/>
      <c r="P17" s="260"/>
      <c r="Q17" s="260"/>
      <c r="R17" s="260"/>
      <c r="S17" s="99"/>
      <c r="T17" s="260"/>
      <c r="U17" s="271"/>
    </row>
    <row r="18" spans="2:21" x14ac:dyDescent="0.25">
      <c r="B18" s="132" t="s">
        <v>54</v>
      </c>
      <c r="C18" s="266" t="e">
        <f>#REF!</f>
        <v>#REF!</v>
      </c>
      <c r="D18" s="237" t="e">
        <f>#REF!</f>
        <v>#REF!</v>
      </c>
      <c r="E18" s="144">
        <v>4.8230792844533079</v>
      </c>
      <c r="F18" s="102">
        <f>'FGP 30%'!G18</f>
        <v>16941981.827167474</v>
      </c>
      <c r="G18" s="126" t="e">
        <f t="shared" si="0"/>
        <v>#REF!</v>
      </c>
      <c r="H18" s="143" t="e">
        <f t="shared" si="1"/>
        <v>#REF!</v>
      </c>
      <c r="I18" s="305">
        <v>142227.96010683011</v>
      </c>
      <c r="J18" s="267" t="e">
        <f t="shared" si="2"/>
        <v>#REF!</v>
      </c>
      <c r="K18" s="268" t="e">
        <f t="shared" si="2"/>
        <v>#REF!</v>
      </c>
      <c r="L18" s="269" t="e">
        <f t="shared" si="3"/>
        <v>#REF!</v>
      </c>
      <c r="M18" s="272" t="e">
        <f t="shared" si="4"/>
        <v>#REF!</v>
      </c>
      <c r="N18" s="260"/>
      <c r="O18" s="260"/>
      <c r="P18" s="260"/>
      <c r="Q18" s="260"/>
      <c r="R18" s="260"/>
      <c r="S18" s="99"/>
      <c r="T18" s="260"/>
      <c r="U18" s="271"/>
    </row>
    <row r="19" spans="2:21" x14ac:dyDescent="0.25">
      <c r="B19" s="132" t="s">
        <v>55</v>
      </c>
      <c r="C19" s="266" t="e">
        <f>#REF!</f>
        <v>#REF!</v>
      </c>
      <c r="D19" s="237" t="e">
        <f>#REF!</f>
        <v>#REF!</v>
      </c>
      <c r="E19" s="144">
        <v>4.1063513873665975</v>
      </c>
      <c r="F19" s="102">
        <f>'FGP 30%'!G19</f>
        <v>13116485.176414713</v>
      </c>
      <c r="G19" s="126" t="e">
        <f t="shared" si="0"/>
        <v>#REF!</v>
      </c>
      <c r="H19" s="143" t="e">
        <f t="shared" si="1"/>
        <v>#REF!</v>
      </c>
      <c r="I19" s="305">
        <v>178100.70770568217</v>
      </c>
      <c r="J19" s="267" t="e">
        <f t="shared" si="2"/>
        <v>#REF!</v>
      </c>
      <c r="K19" s="268" t="e">
        <f t="shared" si="2"/>
        <v>#REF!</v>
      </c>
      <c r="L19" s="269" t="e">
        <f t="shared" si="3"/>
        <v>#REF!</v>
      </c>
      <c r="M19" s="272" t="e">
        <f t="shared" si="4"/>
        <v>#REF!</v>
      </c>
      <c r="N19" s="260"/>
      <c r="O19" s="260"/>
      <c r="P19" s="260"/>
      <c r="Q19" s="260"/>
      <c r="R19" s="260"/>
      <c r="S19" s="99"/>
      <c r="T19" s="260"/>
      <c r="U19" s="271"/>
    </row>
    <row r="20" spans="2:21" x14ac:dyDescent="0.25">
      <c r="B20" s="132" t="s">
        <v>56</v>
      </c>
      <c r="C20" s="266" t="e">
        <f>#REF!</f>
        <v>#REF!</v>
      </c>
      <c r="D20" s="237" t="e">
        <f>#REF!</f>
        <v>#REF!</v>
      </c>
      <c r="E20" s="144">
        <v>5.2077346983143604</v>
      </c>
      <c r="F20" s="102">
        <f>'FGP 30%'!G20</f>
        <v>10743549.50761966</v>
      </c>
      <c r="G20" s="126" t="e">
        <f t="shared" si="0"/>
        <v>#REF!</v>
      </c>
      <c r="H20" s="143" t="e">
        <f t="shared" si="1"/>
        <v>#REF!</v>
      </c>
      <c r="I20" s="305">
        <v>166912.25078355873</v>
      </c>
      <c r="J20" s="267" t="e">
        <f t="shared" si="2"/>
        <v>#REF!</v>
      </c>
      <c r="K20" s="268" t="e">
        <f t="shared" si="2"/>
        <v>#REF!</v>
      </c>
      <c r="L20" s="269" t="e">
        <f t="shared" si="3"/>
        <v>#REF!</v>
      </c>
      <c r="M20" s="272" t="e">
        <f t="shared" si="4"/>
        <v>#REF!</v>
      </c>
      <c r="N20" s="260"/>
      <c r="O20" s="260"/>
      <c r="P20" s="260"/>
      <c r="Q20" s="260"/>
      <c r="R20" s="260"/>
      <c r="S20" s="99"/>
      <c r="T20" s="260"/>
      <c r="U20" s="260"/>
    </row>
    <row r="21" spans="2:21" x14ac:dyDescent="0.25">
      <c r="B21" s="132" t="s">
        <v>57</v>
      </c>
      <c r="C21" s="266" t="e">
        <f>#REF!</f>
        <v>#REF!</v>
      </c>
      <c r="D21" s="237" t="e">
        <f>#REF!</f>
        <v>#REF!</v>
      </c>
      <c r="E21" s="144">
        <v>4.8186763914888475</v>
      </c>
      <c r="F21" s="102">
        <f>'FGP 30%'!G21</f>
        <v>17679896.420451131</v>
      </c>
      <c r="G21" s="126" t="e">
        <f t="shared" si="0"/>
        <v>#REF!</v>
      </c>
      <c r="H21" s="143" t="e">
        <f t="shared" si="1"/>
        <v>#REF!</v>
      </c>
      <c r="I21" s="305">
        <v>208036.45988467679</v>
      </c>
      <c r="J21" s="267" t="e">
        <f t="shared" si="2"/>
        <v>#REF!</v>
      </c>
      <c r="K21" s="268" t="e">
        <f t="shared" si="2"/>
        <v>#REF!</v>
      </c>
      <c r="L21" s="269" t="e">
        <f t="shared" si="3"/>
        <v>#REF!</v>
      </c>
      <c r="M21" s="272" t="e">
        <f t="shared" si="4"/>
        <v>#REF!</v>
      </c>
      <c r="N21" s="260"/>
      <c r="O21" s="260"/>
      <c r="P21" s="260"/>
      <c r="Q21" s="260"/>
      <c r="R21" s="260"/>
      <c r="S21" s="99"/>
      <c r="T21" s="260"/>
      <c r="U21" s="260"/>
    </row>
    <row r="22" spans="2:21" x14ac:dyDescent="0.25">
      <c r="B22" s="132" t="s">
        <v>58</v>
      </c>
      <c r="C22" s="266" t="e">
        <f>#REF!</f>
        <v>#REF!</v>
      </c>
      <c r="D22" s="237" t="e">
        <f>#REF!</f>
        <v>#REF!</v>
      </c>
      <c r="E22" s="144">
        <v>2.9110739805529704</v>
      </c>
      <c r="F22" s="102">
        <f>'FGP 30%'!G22</f>
        <v>12649564.107007304</v>
      </c>
      <c r="G22" s="126" t="e">
        <f t="shared" si="0"/>
        <v>#REF!</v>
      </c>
      <c r="H22" s="143" t="e">
        <f t="shared" si="1"/>
        <v>#REF!</v>
      </c>
      <c r="I22" s="305">
        <v>121434.25160385661</v>
      </c>
      <c r="J22" s="267" t="e">
        <f t="shared" si="2"/>
        <v>#REF!</v>
      </c>
      <c r="K22" s="268" t="e">
        <f t="shared" si="2"/>
        <v>#REF!</v>
      </c>
      <c r="L22" s="269" t="e">
        <f t="shared" si="3"/>
        <v>#REF!</v>
      </c>
      <c r="M22" s="272" t="e">
        <f t="shared" si="4"/>
        <v>#REF!</v>
      </c>
      <c r="N22" s="260"/>
      <c r="O22" s="260"/>
      <c r="P22" s="260"/>
      <c r="Q22" s="260"/>
      <c r="R22" s="260"/>
      <c r="S22" s="99"/>
      <c r="T22" s="260"/>
      <c r="U22" s="271"/>
    </row>
    <row r="23" spans="2:21" x14ac:dyDescent="0.25">
      <c r="B23" s="132" t="s">
        <v>59</v>
      </c>
      <c r="C23" s="266" t="e">
        <f>#REF!</f>
        <v>#REF!</v>
      </c>
      <c r="D23" s="237" t="e">
        <f>#REF!</f>
        <v>#REF!</v>
      </c>
      <c r="E23" s="144">
        <v>4.3304906658341711</v>
      </c>
      <c r="F23" s="102">
        <f>'FGP 30%'!G23</f>
        <v>13990860.26445826</v>
      </c>
      <c r="G23" s="126" t="e">
        <f t="shared" si="0"/>
        <v>#REF!</v>
      </c>
      <c r="H23" s="143" t="e">
        <f t="shared" si="1"/>
        <v>#REF!</v>
      </c>
      <c r="I23" s="305">
        <v>154393.13551406987</v>
      </c>
      <c r="J23" s="267" t="e">
        <f t="shared" si="2"/>
        <v>#REF!</v>
      </c>
      <c r="K23" s="268" t="e">
        <f t="shared" si="2"/>
        <v>#REF!</v>
      </c>
      <c r="L23" s="269" t="e">
        <f t="shared" si="3"/>
        <v>#REF!</v>
      </c>
      <c r="M23" s="272" t="e">
        <f t="shared" si="4"/>
        <v>#REF!</v>
      </c>
      <c r="N23" s="260"/>
      <c r="O23" s="260"/>
      <c r="P23" s="260"/>
      <c r="Q23" s="260"/>
      <c r="R23" s="260"/>
      <c r="S23" s="99"/>
      <c r="T23" s="260"/>
      <c r="U23" s="271"/>
    </row>
    <row r="24" spans="2:21" x14ac:dyDescent="0.25">
      <c r="B24" s="132" t="s">
        <v>60</v>
      </c>
      <c r="C24" s="266" t="e">
        <f>#REF!</f>
        <v>#REF!</v>
      </c>
      <c r="D24" s="237" t="e">
        <f>#REF!</f>
        <v>#REF!</v>
      </c>
      <c r="E24" s="144">
        <v>5.3086882085256404</v>
      </c>
      <c r="F24" s="102">
        <f>'FGP 30%'!G24</f>
        <v>17046558.681277644</v>
      </c>
      <c r="G24" s="126" t="e">
        <f t="shared" si="0"/>
        <v>#REF!</v>
      </c>
      <c r="H24" s="143" t="e">
        <f t="shared" si="1"/>
        <v>#REF!</v>
      </c>
      <c r="I24" s="305">
        <v>342815.93253579823</v>
      </c>
      <c r="J24" s="267" t="e">
        <f t="shared" si="2"/>
        <v>#REF!</v>
      </c>
      <c r="K24" s="268" t="e">
        <f t="shared" si="2"/>
        <v>#REF!</v>
      </c>
      <c r="L24" s="269" t="e">
        <f t="shared" si="3"/>
        <v>#REF!</v>
      </c>
      <c r="M24" s="272" t="e">
        <f t="shared" si="4"/>
        <v>#REF!</v>
      </c>
      <c r="N24" s="260"/>
      <c r="O24" s="260"/>
      <c r="P24" s="260"/>
      <c r="Q24" s="260"/>
      <c r="R24" s="271"/>
      <c r="S24" s="99"/>
      <c r="T24" s="260"/>
      <c r="U24" s="260"/>
    </row>
    <row r="25" spans="2:21" x14ac:dyDescent="0.25">
      <c r="B25" s="132" t="s">
        <v>61</v>
      </c>
      <c r="C25" s="266" t="e">
        <f>#REF!</f>
        <v>#REF!</v>
      </c>
      <c r="D25" s="237" t="e">
        <f>#REF!</f>
        <v>#REF!</v>
      </c>
      <c r="E25" s="144">
        <v>4.864796565169633</v>
      </c>
      <c r="F25" s="102">
        <f>'FGP 30%'!G25</f>
        <v>22100412.281154711</v>
      </c>
      <c r="G25" s="126" t="e">
        <f t="shared" si="0"/>
        <v>#REF!</v>
      </c>
      <c r="H25" s="143" t="e">
        <f t="shared" si="1"/>
        <v>#REF!</v>
      </c>
      <c r="I25" s="305">
        <v>200479.78722284615</v>
      </c>
      <c r="J25" s="267" t="e">
        <f t="shared" si="2"/>
        <v>#REF!</v>
      </c>
      <c r="K25" s="268" t="e">
        <f t="shared" si="2"/>
        <v>#REF!</v>
      </c>
      <c r="L25" s="269" t="e">
        <f t="shared" si="3"/>
        <v>#REF!</v>
      </c>
      <c r="M25" s="272" t="e">
        <f t="shared" si="4"/>
        <v>#REF!</v>
      </c>
      <c r="N25" s="260"/>
      <c r="O25" s="260"/>
      <c r="P25" s="260"/>
      <c r="Q25" s="260"/>
      <c r="R25" s="260"/>
      <c r="S25" s="99"/>
      <c r="T25" s="260"/>
      <c r="U25" s="271"/>
    </row>
    <row r="26" spans="2:21" x14ac:dyDescent="0.25">
      <c r="B26" s="132" t="s">
        <v>62</v>
      </c>
      <c r="C26" s="266" t="e">
        <f>#REF!</f>
        <v>#REF!</v>
      </c>
      <c r="D26" s="237" t="e">
        <f>#REF!</f>
        <v>#REF!</v>
      </c>
      <c r="E26" s="144">
        <v>5.7978942563195188</v>
      </c>
      <c r="F26" s="102">
        <f>'FGP 30%'!G26</f>
        <v>17034297.465327043</v>
      </c>
      <c r="G26" s="126" t="e">
        <f t="shared" si="0"/>
        <v>#REF!</v>
      </c>
      <c r="H26" s="273" t="e">
        <f t="shared" si="1"/>
        <v>#REF!</v>
      </c>
      <c r="I26" s="305">
        <v>1123889.5444337416</v>
      </c>
      <c r="J26" s="267" t="e">
        <f t="shared" si="2"/>
        <v>#REF!</v>
      </c>
      <c r="K26" s="268" t="e">
        <f t="shared" si="2"/>
        <v>#REF!</v>
      </c>
      <c r="L26" s="269" t="e">
        <f t="shared" si="3"/>
        <v>#REF!</v>
      </c>
      <c r="M26" s="272" t="e">
        <f t="shared" si="4"/>
        <v>#REF!</v>
      </c>
      <c r="N26" s="260"/>
      <c r="O26" s="260"/>
      <c r="P26" s="271"/>
      <c r="Q26" s="260"/>
      <c r="R26" s="271"/>
      <c r="S26" s="99"/>
      <c r="T26" s="260"/>
      <c r="U26" s="260"/>
    </row>
    <row r="27" spans="2:21" x14ac:dyDescent="0.25">
      <c r="B27" s="132" t="s">
        <v>63</v>
      </c>
      <c r="C27" s="266" t="e">
        <f>#REF!</f>
        <v>#REF!</v>
      </c>
      <c r="D27" s="237" t="e">
        <f>#REF!</f>
        <v>#REF!</v>
      </c>
      <c r="E27" s="144">
        <v>4.8271447622480794</v>
      </c>
      <c r="F27" s="102">
        <f>'FGP 30%'!G27</f>
        <v>10784985.626900537</v>
      </c>
      <c r="G27" s="126" t="e">
        <f t="shared" si="0"/>
        <v>#REF!</v>
      </c>
      <c r="H27" s="143" t="e">
        <f t="shared" si="1"/>
        <v>#REF!</v>
      </c>
      <c r="I27" s="305">
        <v>177060.44640841757</v>
      </c>
      <c r="J27" s="267" t="e">
        <f t="shared" si="2"/>
        <v>#REF!</v>
      </c>
      <c r="K27" s="268" t="e">
        <f t="shared" si="2"/>
        <v>#REF!</v>
      </c>
      <c r="L27" s="269" t="e">
        <f t="shared" si="3"/>
        <v>#REF!</v>
      </c>
      <c r="M27" s="272" t="e">
        <f t="shared" si="4"/>
        <v>#REF!</v>
      </c>
      <c r="N27" s="260"/>
      <c r="O27" s="260"/>
      <c r="P27" s="260"/>
      <c r="Q27" s="260"/>
      <c r="R27" s="260"/>
      <c r="S27" s="99"/>
      <c r="T27" s="260"/>
      <c r="U27" s="260"/>
    </row>
    <row r="28" spans="2:21" ht="15.75" thickBot="1" x14ac:dyDescent="0.3">
      <c r="B28" s="133" t="s">
        <v>64</v>
      </c>
      <c r="C28" s="274" t="e">
        <f>#REF!</f>
        <v>#REF!</v>
      </c>
      <c r="D28" s="275" t="e">
        <f>#REF!</f>
        <v>#REF!</v>
      </c>
      <c r="E28" s="276">
        <v>5.8205204142649469</v>
      </c>
      <c r="F28" s="277">
        <f>'FGP 30%'!G28</f>
        <v>12735378.464742146</v>
      </c>
      <c r="G28" s="278" t="e">
        <f t="shared" si="0"/>
        <v>#REF!</v>
      </c>
      <c r="H28" s="279" t="e">
        <f t="shared" si="1"/>
        <v>#REF!</v>
      </c>
      <c r="I28" s="306">
        <v>236350.17226942629</v>
      </c>
      <c r="J28" s="280" t="e">
        <f t="shared" si="2"/>
        <v>#REF!</v>
      </c>
      <c r="K28" s="281" t="e">
        <f t="shared" si="2"/>
        <v>#REF!</v>
      </c>
      <c r="L28" s="282" t="e">
        <f t="shared" si="3"/>
        <v>#REF!</v>
      </c>
      <c r="M28" s="283" t="e">
        <f t="shared" si="4"/>
        <v>#REF!</v>
      </c>
      <c r="N28" s="260"/>
      <c r="O28" s="260"/>
      <c r="P28" s="260"/>
      <c r="Q28" s="260"/>
      <c r="R28" s="260"/>
      <c r="S28" s="99"/>
      <c r="T28" s="260"/>
      <c r="U28" s="271"/>
    </row>
    <row r="29" spans="2:21" ht="15.75" thickBot="1" x14ac:dyDescent="0.3">
      <c r="B29" s="284" t="s">
        <v>65</v>
      </c>
      <c r="C29" s="285" t="e">
        <f t="shared" ref="C29:M29" si="5">SUM(C9:C28)</f>
        <v>#REF!</v>
      </c>
      <c r="D29" s="286" t="e">
        <f t="shared" si="5"/>
        <v>#REF!</v>
      </c>
      <c r="E29" s="303">
        <f t="shared" si="5"/>
        <v>100.00000000000003</v>
      </c>
      <c r="F29" s="48">
        <f t="shared" si="5"/>
        <v>289086390.92250001</v>
      </c>
      <c r="G29" s="49" t="e">
        <f t="shared" si="5"/>
        <v>#REF!</v>
      </c>
      <c r="H29" s="304" t="e">
        <f>SUM(H9:H28)</f>
        <v>#REF!</v>
      </c>
      <c r="I29" s="287"/>
      <c r="J29" s="288" t="e">
        <f>SUM(J9:J28)</f>
        <v>#REF!</v>
      </c>
      <c r="K29" s="289" t="e">
        <f t="shared" si="5"/>
        <v>#REF!</v>
      </c>
      <c r="L29" s="290" t="e">
        <f>SUM(L9:L28)</f>
        <v>#REF!</v>
      </c>
      <c r="M29" s="291" t="e">
        <f t="shared" si="5"/>
        <v>#REF!</v>
      </c>
      <c r="N29" s="260"/>
      <c r="O29" s="260"/>
      <c r="P29" s="260"/>
      <c r="Q29" s="260"/>
      <c r="R29" s="260"/>
      <c r="S29" s="292"/>
      <c r="T29" s="260"/>
      <c r="U29" s="260"/>
    </row>
    <row r="30" spans="2:21" x14ac:dyDescent="0.25">
      <c r="B30" s="8" t="s">
        <v>224</v>
      </c>
      <c r="C30" s="8"/>
      <c r="D30" s="8"/>
      <c r="E30" s="8"/>
      <c r="F30" s="8"/>
      <c r="G30" s="8"/>
      <c r="H30" s="8"/>
      <c r="I30" s="8"/>
      <c r="J30" s="8"/>
      <c r="K30" s="57"/>
      <c r="L30" s="57"/>
      <c r="M30" s="260"/>
      <c r="N30" s="8"/>
      <c r="O30" s="8"/>
      <c r="P30" s="8"/>
      <c r="Q30" s="8"/>
      <c r="R30" s="8"/>
      <c r="S30" s="8"/>
      <c r="T30" s="8"/>
      <c r="U30" s="8"/>
    </row>
    <row r="31" spans="2:21" x14ac:dyDescent="0.25">
      <c r="B31" s="8" t="s">
        <v>225</v>
      </c>
      <c r="C31" s="8"/>
      <c r="D31" s="8"/>
      <c r="E31" s="8"/>
      <c r="F31" s="260"/>
      <c r="G31" s="8"/>
      <c r="H31" s="8"/>
      <c r="I31" s="8"/>
      <c r="J31" s="8"/>
      <c r="K31" s="57"/>
      <c r="L31" s="57"/>
      <c r="M31" s="8"/>
      <c r="N31" s="8"/>
      <c r="O31" s="8"/>
      <c r="P31" s="8"/>
      <c r="Q31" s="8"/>
      <c r="R31" s="8"/>
      <c r="S31" s="8"/>
      <c r="T31" s="8"/>
      <c r="U31" s="8"/>
    </row>
    <row r="32" spans="2:21" x14ac:dyDescent="0.25">
      <c r="B32" s="8"/>
      <c r="C32" s="8"/>
      <c r="D32" s="293"/>
      <c r="E32" s="8"/>
      <c r="F32" s="8"/>
      <c r="G32" s="8"/>
      <c r="H32" s="8"/>
      <c r="I32" s="117">
        <f>SUM(I9:I28)</f>
        <v>4921983.8999999026</v>
      </c>
      <c r="J32" s="8"/>
      <c r="K32" s="57"/>
      <c r="L32" s="57"/>
      <c r="M32" s="8"/>
      <c r="N32" s="8"/>
      <c r="O32" s="8"/>
      <c r="P32" s="8"/>
      <c r="Q32" s="8"/>
      <c r="R32" s="8"/>
      <c r="S32" s="8"/>
      <c r="T32" s="8"/>
      <c r="U32" s="8"/>
    </row>
    <row r="33" spans="2:6" hidden="1" x14ac:dyDescent="0.25">
      <c r="B33" s="8"/>
      <c r="C33" s="8"/>
      <c r="D33" s="8"/>
      <c r="E33" s="8"/>
      <c r="F33" s="8"/>
    </row>
    <row r="34" spans="2:6" hidden="1" x14ac:dyDescent="0.25">
      <c r="B34" s="1076" t="s">
        <v>226</v>
      </c>
      <c r="C34" s="1076"/>
      <c r="D34" s="1076"/>
      <c r="E34" s="8"/>
      <c r="F34" s="8"/>
    </row>
    <row r="35" spans="2:6" ht="15" hidden="1" customHeight="1" x14ac:dyDescent="0.25">
      <c r="B35" s="1253" t="s">
        <v>227</v>
      </c>
      <c r="C35" s="1254" t="s">
        <v>24</v>
      </c>
      <c r="D35" s="1254"/>
      <c r="E35" s="8"/>
      <c r="F35" s="8"/>
    </row>
    <row r="36" spans="2:6" hidden="1" x14ac:dyDescent="0.25">
      <c r="B36" s="1253"/>
      <c r="C36" s="221" t="s">
        <v>228</v>
      </c>
      <c r="D36" s="221" t="s">
        <v>229</v>
      </c>
      <c r="E36" s="8"/>
      <c r="F36" s="8"/>
    </row>
    <row r="37" spans="2:6" hidden="1" x14ac:dyDescent="0.25">
      <c r="B37" s="294" t="s">
        <v>45</v>
      </c>
      <c r="C37" s="174">
        <v>29974.498347254703</v>
      </c>
      <c r="D37" s="174">
        <v>15215.818184990858</v>
      </c>
      <c r="E37" s="125"/>
      <c r="F37" s="126"/>
    </row>
    <row r="38" spans="2:6" hidden="1" x14ac:dyDescent="0.25">
      <c r="B38" s="294" t="s">
        <v>46</v>
      </c>
      <c r="C38" s="174">
        <v>52680.591327376627</v>
      </c>
      <c r="D38" s="174">
        <v>21399.49763849939</v>
      </c>
      <c r="E38" s="125"/>
      <c r="F38" s="126"/>
    </row>
    <row r="39" spans="2:6" hidden="1" x14ac:dyDescent="0.25">
      <c r="B39" s="294" t="s">
        <v>47</v>
      </c>
      <c r="C39" s="174">
        <v>98033.370647845295</v>
      </c>
      <c r="D39" s="174">
        <v>21647.119796160252</v>
      </c>
      <c r="E39" s="125"/>
      <c r="F39" s="126"/>
    </row>
    <row r="40" spans="2:6" hidden="1" x14ac:dyDescent="0.25">
      <c r="B40" s="294" t="s">
        <v>48</v>
      </c>
      <c r="C40" s="174">
        <v>21399.49763849939</v>
      </c>
      <c r="D40" s="174">
        <v>25965.384823886736</v>
      </c>
      <c r="E40" s="125"/>
      <c r="F40" s="126"/>
    </row>
    <row r="41" spans="2:6" hidden="1" x14ac:dyDescent="0.25">
      <c r="B41" s="294" t="s">
        <v>49</v>
      </c>
      <c r="C41" s="174">
        <v>25965.384823886736</v>
      </c>
      <c r="D41" s="174">
        <v>27212.070679317905</v>
      </c>
      <c r="E41" s="125"/>
      <c r="F41" s="126"/>
    </row>
    <row r="42" spans="2:6" hidden="1" x14ac:dyDescent="0.25">
      <c r="B42" s="294" t="s">
        <v>50</v>
      </c>
      <c r="C42" s="174">
        <v>37003.826900566906</v>
      </c>
      <c r="D42" s="174">
        <v>29974.498347254703</v>
      </c>
      <c r="E42" s="125"/>
      <c r="F42" s="126"/>
    </row>
    <row r="43" spans="2:6" hidden="1" x14ac:dyDescent="0.25">
      <c r="B43" s="294" t="s">
        <v>51</v>
      </c>
      <c r="C43" s="174">
        <v>79580.165950345632</v>
      </c>
      <c r="D43" s="174">
        <v>32584.151507048995</v>
      </c>
      <c r="E43" s="125"/>
      <c r="F43" s="126"/>
    </row>
    <row r="44" spans="2:6" hidden="1" x14ac:dyDescent="0.25">
      <c r="B44" s="294" t="s">
        <v>52</v>
      </c>
      <c r="C44" s="174">
        <v>33772.177205488624</v>
      </c>
      <c r="D44" s="174">
        <v>33772.177205488624</v>
      </c>
      <c r="E44" s="125"/>
      <c r="F44" s="126"/>
    </row>
    <row r="45" spans="2:6" hidden="1" x14ac:dyDescent="0.25">
      <c r="B45" s="294" t="s">
        <v>53</v>
      </c>
      <c r="C45" s="174">
        <v>45225.633132002353</v>
      </c>
      <c r="D45" s="174">
        <v>36708.177999525833</v>
      </c>
      <c r="E45" s="125"/>
      <c r="F45" s="126"/>
    </row>
    <row r="46" spans="2:6" hidden="1" x14ac:dyDescent="0.25">
      <c r="B46" s="294" t="s">
        <v>54</v>
      </c>
      <c r="C46" s="174">
        <v>63112.329754147126</v>
      </c>
      <c r="D46" s="174">
        <v>37003.826900566906</v>
      </c>
      <c r="E46" s="125"/>
      <c r="F46" s="126"/>
    </row>
    <row r="47" spans="2:6" hidden="1" x14ac:dyDescent="0.25">
      <c r="B47" s="294" t="s">
        <v>55</v>
      </c>
      <c r="C47" s="174">
        <v>39704.639733971853</v>
      </c>
      <c r="D47" s="174">
        <v>39704.639733971853</v>
      </c>
      <c r="E47" s="125"/>
      <c r="F47" s="126"/>
    </row>
    <row r="48" spans="2:6" hidden="1" x14ac:dyDescent="0.25">
      <c r="B48" s="294" t="s">
        <v>56</v>
      </c>
      <c r="C48" s="174">
        <v>44506.829771857942</v>
      </c>
      <c r="D48" s="174">
        <v>43192.395279627446</v>
      </c>
      <c r="E48" s="125"/>
      <c r="F48" s="126"/>
    </row>
    <row r="49" spans="2:12" hidden="1" x14ac:dyDescent="0.25">
      <c r="B49" s="294" t="s">
        <v>57</v>
      </c>
      <c r="C49" s="174">
        <v>32584.151507048995</v>
      </c>
      <c r="D49" s="174">
        <v>44506.829771857942</v>
      </c>
      <c r="E49" s="125"/>
      <c r="F49" s="126"/>
      <c r="G49" s="8"/>
      <c r="H49" s="8"/>
      <c r="I49" s="8"/>
      <c r="J49" s="8"/>
      <c r="K49" s="57"/>
      <c r="L49" s="57"/>
    </row>
    <row r="50" spans="2:12" hidden="1" x14ac:dyDescent="0.25">
      <c r="B50" s="294" t="s">
        <v>58</v>
      </c>
      <c r="C50" s="174">
        <v>268831.41005360917</v>
      </c>
      <c r="D50" s="174">
        <v>45225.633132002353</v>
      </c>
      <c r="E50" s="125"/>
      <c r="F50" s="126"/>
      <c r="G50" s="8"/>
      <c r="H50" s="8"/>
      <c r="I50" s="8"/>
      <c r="J50" s="8"/>
      <c r="K50" s="57"/>
      <c r="L50" s="57"/>
    </row>
    <row r="51" spans="2:12" hidden="1" x14ac:dyDescent="0.25">
      <c r="B51" s="294" t="s">
        <v>59</v>
      </c>
      <c r="C51" s="174">
        <v>46347.41126647652</v>
      </c>
      <c r="D51" s="174">
        <v>46347.41126647652</v>
      </c>
      <c r="E51" s="125"/>
      <c r="F51" s="126"/>
      <c r="G51" s="8"/>
      <c r="H51" s="8"/>
      <c r="I51" s="8"/>
      <c r="J51" s="8"/>
      <c r="K51" s="57"/>
      <c r="L51" s="57"/>
    </row>
    <row r="52" spans="2:12" hidden="1" x14ac:dyDescent="0.25">
      <c r="B52" s="294" t="s">
        <v>60</v>
      </c>
      <c r="C52" s="174">
        <v>21647.119796160252</v>
      </c>
      <c r="D52" s="174">
        <v>52680.591327376627</v>
      </c>
      <c r="E52" s="125"/>
      <c r="F52" s="126"/>
      <c r="G52" s="8"/>
      <c r="H52" s="8"/>
      <c r="I52" s="8"/>
      <c r="J52" s="8"/>
      <c r="K52" s="57"/>
      <c r="L52" s="57"/>
    </row>
    <row r="53" spans="2:12" hidden="1" x14ac:dyDescent="0.25">
      <c r="B53" s="294" t="s">
        <v>61</v>
      </c>
      <c r="C53" s="174">
        <v>36708.177999525833</v>
      </c>
      <c r="D53" s="174">
        <v>63112.329754147126</v>
      </c>
      <c r="E53" s="125"/>
      <c r="F53" s="126"/>
      <c r="G53" s="8"/>
      <c r="H53" s="8"/>
      <c r="I53" s="8"/>
      <c r="J53" s="8"/>
      <c r="K53" s="57"/>
      <c r="L53" s="57"/>
    </row>
    <row r="54" spans="2:12" hidden="1" x14ac:dyDescent="0.25">
      <c r="B54" s="294" t="s">
        <v>62</v>
      </c>
      <c r="C54" s="174">
        <v>15215.818184990858</v>
      </c>
      <c r="D54" s="174">
        <v>79580.165950345632</v>
      </c>
      <c r="E54" s="125"/>
      <c r="F54" s="126"/>
      <c r="G54" s="8"/>
      <c r="H54" s="8"/>
      <c r="I54" s="8"/>
      <c r="J54" s="8"/>
      <c r="K54" s="57"/>
      <c r="L54" s="57"/>
    </row>
    <row r="55" spans="2:12" hidden="1" x14ac:dyDescent="0.25">
      <c r="B55" s="294" t="s">
        <v>63</v>
      </c>
      <c r="C55" s="174">
        <v>43192.395279627446</v>
      </c>
      <c r="D55" s="174">
        <v>98033.370647845295</v>
      </c>
      <c r="E55" s="125"/>
      <c r="F55" s="126"/>
      <c r="G55" s="8"/>
      <c r="H55" s="8"/>
      <c r="I55" s="8"/>
      <c r="J55" s="8"/>
      <c r="K55" s="57"/>
      <c r="L55" s="57"/>
    </row>
    <row r="56" spans="2:12" hidden="1" x14ac:dyDescent="0.25">
      <c r="B56" s="294" t="s">
        <v>64</v>
      </c>
      <c r="C56" s="174">
        <v>27212.070679317905</v>
      </c>
      <c r="D56" s="174">
        <v>268831.41005360917</v>
      </c>
      <c r="E56" s="125"/>
      <c r="F56" s="126"/>
      <c r="G56" s="8"/>
      <c r="H56" s="8"/>
      <c r="I56" s="8"/>
      <c r="J56" s="8"/>
      <c r="K56" s="57"/>
      <c r="L56" s="57"/>
    </row>
    <row r="57" spans="2:12" hidden="1" x14ac:dyDescent="0.25">
      <c r="B57" s="294" t="s">
        <v>82</v>
      </c>
      <c r="C57" s="174">
        <f>SUM(C37:C56)</f>
        <v>1062697.5000000002</v>
      </c>
      <c r="D57" s="174">
        <f>SUM(D37:D56)</f>
        <v>1062697.5000000002</v>
      </c>
      <c r="E57" s="125"/>
      <c r="F57" s="135"/>
      <c r="G57" s="8"/>
      <c r="H57" s="8"/>
      <c r="I57" s="8"/>
      <c r="J57" s="8"/>
      <c r="K57" s="57"/>
      <c r="L57" s="57"/>
    </row>
    <row r="58" spans="2:12" hidden="1" x14ac:dyDescent="0.25">
      <c r="B58" s="8"/>
      <c r="C58" s="8"/>
      <c r="D58" s="8"/>
      <c r="E58" s="8"/>
      <c r="F58" s="8"/>
      <c r="G58" s="8"/>
      <c r="H58" s="8"/>
      <c r="I58" s="8"/>
      <c r="J58" s="8"/>
      <c r="K58" s="57"/>
      <c r="L58" s="57"/>
    </row>
    <row r="59" spans="2:12" x14ac:dyDescent="0.25">
      <c r="C59" s="8"/>
      <c r="D59" s="8"/>
      <c r="E59" s="8"/>
      <c r="F59" s="8"/>
      <c r="G59" s="8"/>
      <c r="H59" s="8"/>
      <c r="I59" s="8"/>
      <c r="J59" s="8"/>
      <c r="K59" s="57"/>
      <c r="L59" s="57"/>
    </row>
    <row r="60" spans="2:12" x14ac:dyDescent="0.25">
      <c r="B60" s="8"/>
      <c r="C60" s="8"/>
      <c r="D60" s="8"/>
      <c r="E60" s="8"/>
      <c r="F60" s="8"/>
      <c r="G60" s="8"/>
      <c r="H60" s="8"/>
      <c r="I60" s="8"/>
      <c r="J60" s="8"/>
      <c r="K60" s="57"/>
      <c r="L60" s="57"/>
    </row>
    <row r="61" spans="2:12" ht="15.75" hidden="1" x14ac:dyDescent="0.25">
      <c r="B61" s="937" t="s">
        <v>113</v>
      </c>
      <c r="C61" s="937"/>
      <c r="D61" s="937"/>
      <c r="E61" s="937"/>
      <c r="F61" s="937"/>
      <c r="G61" s="937"/>
      <c r="H61" s="937"/>
      <c r="I61" s="219"/>
      <c r="J61" s="219"/>
      <c r="K61" s="220"/>
      <c r="L61" s="220"/>
    </row>
    <row r="62" spans="2:12" hidden="1" x14ac:dyDescent="0.25">
      <c r="B62" s="8"/>
      <c r="C62" s="8"/>
      <c r="D62" s="8"/>
      <c r="E62" s="8"/>
      <c r="F62" s="8"/>
      <c r="G62" s="8"/>
      <c r="H62" s="8"/>
      <c r="I62" s="8"/>
      <c r="J62" s="8"/>
      <c r="K62" s="57"/>
      <c r="L62" s="57"/>
    </row>
    <row r="63" spans="2:12" hidden="1" x14ac:dyDescent="0.25">
      <c r="B63" s="1248" t="s">
        <v>83</v>
      </c>
      <c r="C63" s="86" t="s">
        <v>84</v>
      </c>
      <c r="D63" s="86" t="s">
        <v>20</v>
      </c>
      <c r="E63" s="118" t="s">
        <v>115</v>
      </c>
      <c r="F63" s="118" t="s">
        <v>82</v>
      </c>
      <c r="G63" s="86" t="s">
        <v>116</v>
      </c>
      <c r="H63" s="86" t="s">
        <v>117</v>
      </c>
      <c r="I63" s="222"/>
      <c r="J63" s="222"/>
      <c r="K63" s="57"/>
      <c r="L63" s="57"/>
    </row>
    <row r="64" spans="2:12" hidden="1" x14ac:dyDescent="0.25">
      <c r="B64" s="1249"/>
      <c r="C64" s="13" t="s">
        <v>87</v>
      </c>
      <c r="D64" s="13" t="s">
        <v>30</v>
      </c>
      <c r="E64" s="119" t="s">
        <v>119</v>
      </c>
      <c r="F64" s="119" t="s">
        <v>230</v>
      </c>
      <c r="G64" s="13" t="s">
        <v>121</v>
      </c>
      <c r="H64" s="13" t="s">
        <v>122</v>
      </c>
      <c r="I64" s="222"/>
      <c r="J64" s="222"/>
      <c r="K64" s="57"/>
      <c r="L64" s="57"/>
    </row>
    <row r="65" spans="2:10" hidden="1" x14ac:dyDescent="0.25">
      <c r="B65" s="1249"/>
      <c r="C65" s="120">
        <v>2014</v>
      </c>
      <c r="D65" s="120" t="s">
        <v>36</v>
      </c>
      <c r="E65" s="119">
        <v>2015</v>
      </c>
      <c r="F65" s="119" t="s">
        <v>126</v>
      </c>
      <c r="G65" s="13">
        <v>2014</v>
      </c>
      <c r="H65" s="13" t="s">
        <v>127</v>
      </c>
      <c r="I65" s="222"/>
      <c r="J65" s="222"/>
    </row>
    <row r="66" spans="2:10" hidden="1" x14ac:dyDescent="0.25">
      <c r="B66" s="1250"/>
      <c r="C66" s="121" t="s">
        <v>70</v>
      </c>
      <c r="D66" s="121" t="s">
        <v>94</v>
      </c>
      <c r="E66" s="121" t="s">
        <v>71</v>
      </c>
      <c r="F66" s="121" t="s">
        <v>95</v>
      </c>
      <c r="G66" s="121" t="s">
        <v>73</v>
      </c>
      <c r="H66" s="121" t="s">
        <v>97</v>
      </c>
      <c r="I66" s="142"/>
      <c r="J66" s="142"/>
    </row>
    <row r="67" spans="2:10" hidden="1" x14ac:dyDescent="0.25">
      <c r="B67" s="122" t="s">
        <v>45</v>
      </c>
      <c r="C67" s="123">
        <v>3.62</v>
      </c>
      <c r="D67" s="295">
        <f>[6]Datos!I$13*C67%</f>
        <v>35350314.182820007</v>
      </c>
      <c r="E67" s="260" t="e">
        <f>M9</f>
        <v>#REF!</v>
      </c>
      <c r="F67" s="151" t="e">
        <f>D67+E67</f>
        <v>#REF!</v>
      </c>
      <c r="G67" s="151" t="e">
        <f>F$87*C67%</f>
        <v>#REF!</v>
      </c>
      <c r="H67" s="296" t="e">
        <f>F67-G67</f>
        <v>#REF!</v>
      </c>
      <c r="I67" s="296"/>
      <c r="J67" s="296"/>
    </row>
    <row r="68" spans="2:10" hidden="1" x14ac:dyDescent="0.25">
      <c r="B68" s="125" t="s">
        <v>46</v>
      </c>
      <c r="C68" s="99">
        <v>2.4700000000000002</v>
      </c>
      <c r="D68" s="297">
        <f>[6]Datos!I$13*C68%</f>
        <v>24120241.997670002</v>
      </c>
      <c r="E68" s="260" t="e">
        <f t="shared" ref="E68:E87" si="6">M10</f>
        <v>#REF!</v>
      </c>
      <c r="F68" s="151" t="e">
        <f t="shared" ref="F68:F87" si="7">D68+E68</f>
        <v>#REF!</v>
      </c>
      <c r="G68" s="151" t="e">
        <f t="shared" ref="G68:G87" si="8">F$87*C68%</f>
        <v>#REF!</v>
      </c>
      <c r="H68" s="296" t="e">
        <f t="shared" ref="H68:H86" si="9">F68-G68</f>
        <v>#REF!</v>
      </c>
      <c r="I68" s="296"/>
      <c r="J68" s="296"/>
    </row>
    <row r="69" spans="2:10" hidden="1" x14ac:dyDescent="0.25">
      <c r="B69" s="125" t="s">
        <v>47</v>
      </c>
      <c r="C69" s="99">
        <v>2.33</v>
      </c>
      <c r="D69" s="297">
        <f>[6]Datos!I$13*C69%</f>
        <v>22753102.77513</v>
      </c>
      <c r="E69" s="260" t="e">
        <f t="shared" si="6"/>
        <v>#REF!</v>
      </c>
      <c r="F69" s="151" t="e">
        <f t="shared" si="7"/>
        <v>#REF!</v>
      </c>
      <c r="G69" s="151" t="e">
        <f t="shared" si="8"/>
        <v>#REF!</v>
      </c>
      <c r="H69" s="296" t="e">
        <f t="shared" si="9"/>
        <v>#REF!</v>
      </c>
      <c r="I69" s="296"/>
      <c r="J69" s="296"/>
    </row>
    <row r="70" spans="2:10" hidden="1" x14ac:dyDescent="0.25">
      <c r="B70" s="125" t="s">
        <v>48</v>
      </c>
      <c r="C70" s="99">
        <v>2.81</v>
      </c>
      <c r="D70" s="297">
        <f>[6]Datos!I$13*C70%</f>
        <v>27440437.252410002</v>
      </c>
      <c r="E70" s="260" t="e">
        <f t="shared" si="6"/>
        <v>#REF!</v>
      </c>
      <c r="F70" s="151" t="e">
        <f t="shared" si="7"/>
        <v>#REF!</v>
      </c>
      <c r="G70" s="151" t="e">
        <f t="shared" si="8"/>
        <v>#REF!</v>
      </c>
      <c r="H70" s="296" t="e">
        <f t="shared" si="9"/>
        <v>#REF!</v>
      </c>
      <c r="I70" s="296"/>
      <c r="J70" s="296"/>
    </row>
    <row r="71" spans="2:10" hidden="1" x14ac:dyDescent="0.25">
      <c r="B71" s="125" t="s">
        <v>49</v>
      </c>
      <c r="C71" s="99">
        <v>4.6399999999999997</v>
      </c>
      <c r="D71" s="297">
        <f>[6]Datos!I$13*C71%</f>
        <v>45310899.947039999</v>
      </c>
      <c r="E71" s="260" t="e">
        <f t="shared" si="6"/>
        <v>#REF!</v>
      </c>
      <c r="F71" s="151" t="e">
        <f t="shared" si="7"/>
        <v>#REF!</v>
      </c>
      <c r="G71" s="151" t="e">
        <f t="shared" si="8"/>
        <v>#REF!</v>
      </c>
      <c r="H71" s="296" t="e">
        <f t="shared" si="9"/>
        <v>#REF!</v>
      </c>
      <c r="I71" s="296"/>
      <c r="J71" s="296"/>
    </row>
    <row r="72" spans="2:10" hidden="1" x14ac:dyDescent="0.25">
      <c r="B72" s="125" t="s">
        <v>50</v>
      </c>
      <c r="C72" s="99">
        <v>1.5</v>
      </c>
      <c r="D72" s="297">
        <f>[6]Datos!I$13*C72%</f>
        <v>14647920.2415</v>
      </c>
      <c r="E72" s="260" t="e">
        <f t="shared" si="6"/>
        <v>#REF!</v>
      </c>
      <c r="F72" s="151" t="e">
        <f t="shared" si="7"/>
        <v>#REF!</v>
      </c>
      <c r="G72" s="151" t="e">
        <f t="shared" si="8"/>
        <v>#REF!</v>
      </c>
      <c r="H72" s="296" t="e">
        <f t="shared" si="9"/>
        <v>#REF!</v>
      </c>
      <c r="I72" s="296"/>
      <c r="J72" s="296"/>
    </row>
    <row r="73" spans="2:10" hidden="1" x14ac:dyDescent="0.25">
      <c r="B73" s="125" t="s">
        <v>51</v>
      </c>
      <c r="C73" s="99">
        <v>1.53</v>
      </c>
      <c r="D73" s="297">
        <f>[6]Datos!I$13*C73%</f>
        <v>14940878.646330001</v>
      </c>
      <c r="E73" s="260" t="e">
        <f t="shared" si="6"/>
        <v>#REF!</v>
      </c>
      <c r="F73" s="151" t="e">
        <f t="shared" si="7"/>
        <v>#REF!</v>
      </c>
      <c r="G73" s="151" t="e">
        <f t="shared" si="8"/>
        <v>#REF!</v>
      </c>
      <c r="H73" s="296" t="e">
        <f t="shared" si="9"/>
        <v>#REF!</v>
      </c>
      <c r="I73" s="296"/>
      <c r="J73" s="296"/>
    </row>
    <row r="74" spans="2:10" hidden="1" x14ac:dyDescent="0.25">
      <c r="B74" s="125" t="s">
        <v>52</v>
      </c>
      <c r="C74" s="99">
        <v>3.16</v>
      </c>
      <c r="D74" s="297">
        <f>[6]Datos!I$13*C74%</f>
        <v>30858285.308760002</v>
      </c>
      <c r="E74" s="260" t="e">
        <f t="shared" si="6"/>
        <v>#REF!</v>
      </c>
      <c r="F74" s="151" t="e">
        <f t="shared" si="7"/>
        <v>#REF!</v>
      </c>
      <c r="G74" s="151" t="e">
        <f t="shared" si="8"/>
        <v>#REF!</v>
      </c>
      <c r="H74" s="296" t="e">
        <f t="shared" si="9"/>
        <v>#REF!</v>
      </c>
      <c r="I74" s="296"/>
      <c r="J74" s="296"/>
    </row>
    <row r="75" spans="2:10" hidden="1" x14ac:dyDescent="0.25">
      <c r="B75" s="125" t="s">
        <v>53</v>
      </c>
      <c r="C75" s="99">
        <v>2.81</v>
      </c>
      <c r="D75" s="297">
        <f>[6]Datos!I$13*C75%</f>
        <v>27440437.252410002</v>
      </c>
      <c r="E75" s="260" t="e">
        <f t="shared" si="6"/>
        <v>#REF!</v>
      </c>
      <c r="F75" s="151" t="e">
        <f t="shared" si="7"/>
        <v>#REF!</v>
      </c>
      <c r="G75" s="151" t="e">
        <f t="shared" si="8"/>
        <v>#REF!</v>
      </c>
      <c r="H75" s="296" t="e">
        <f t="shared" si="9"/>
        <v>#REF!</v>
      </c>
      <c r="I75" s="296"/>
      <c r="J75" s="296"/>
    </row>
    <row r="76" spans="2:10" hidden="1" x14ac:dyDescent="0.25">
      <c r="B76" s="125" t="s">
        <v>54</v>
      </c>
      <c r="C76" s="99">
        <v>1.6</v>
      </c>
      <c r="D76" s="297">
        <f>[6]Datos!I$13*C76%</f>
        <v>15624448.2576</v>
      </c>
      <c r="E76" s="260" t="e">
        <f t="shared" si="6"/>
        <v>#REF!</v>
      </c>
      <c r="F76" s="151" t="e">
        <f t="shared" si="7"/>
        <v>#REF!</v>
      </c>
      <c r="G76" s="151" t="e">
        <f t="shared" si="8"/>
        <v>#REF!</v>
      </c>
      <c r="H76" s="296" t="e">
        <f t="shared" si="9"/>
        <v>#REF!</v>
      </c>
      <c r="I76" s="296"/>
      <c r="J76" s="296"/>
    </row>
    <row r="77" spans="2:10" hidden="1" x14ac:dyDescent="0.25">
      <c r="B77" s="125" t="s">
        <v>55</v>
      </c>
      <c r="C77" s="99">
        <v>2.84</v>
      </c>
      <c r="D77" s="297">
        <f>[6]Datos!I$13*C77%</f>
        <v>27733395.65724</v>
      </c>
      <c r="E77" s="260" t="e">
        <f t="shared" si="6"/>
        <v>#REF!</v>
      </c>
      <c r="F77" s="151" t="e">
        <f t="shared" si="7"/>
        <v>#REF!</v>
      </c>
      <c r="G77" s="151" t="e">
        <f t="shared" si="8"/>
        <v>#REF!</v>
      </c>
      <c r="H77" s="296" t="e">
        <f t="shared" si="9"/>
        <v>#REF!</v>
      </c>
      <c r="I77" s="296"/>
      <c r="J77" s="296"/>
    </row>
    <row r="78" spans="2:10" hidden="1" x14ac:dyDescent="0.25">
      <c r="B78" s="125" t="s">
        <v>56</v>
      </c>
      <c r="C78" s="99">
        <v>3.33</v>
      </c>
      <c r="D78" s="297">
        <f>[6]Datos!I$13*C78%</f>
        <v>32518382.936130002</v>
      </c>
      <c r="E78" s="260" t="e">
        <f t="shared" si="6"/>
        <v>#REF!</v>
      </c>
      <c r="F78" s="151" t="e">
        <f t="shared" si="7"/>
        <v>#REF!</v>
      </c>
      <c r="G78" s="151" t="e">
        <f t="shared" si="8"/>
        <v>#REF!</v>
      </c>
      <c r="H78" s="298" t="e">
        <f t="shared" si="9"/>
        <v>#REF!</v>
      </c>
      <c r="I78" s="298"/>
      <c r="J78" s="298"/>
    </row>
    <row r="79" spans="2:10" hidden="1" x14ac:dyDescent="0.25">
      <c r="B79" s="125" t="s">
        <v>57</v>
      </c>
      <c r="C79" s="99">
        <v>4.6900000000000004</v>
      </c>
      <c r="D79" s="297">
        <f>[6]Datos!I$13*C79%</f>
        <v>45799163.955090009</v>
      </c>
      <c r="E79" s="260" t="e">
        <f t="shared" si="6"/>
        <v>#REF!</v>
      </c>
      <c r="F79" s="151" t="e">
        <f t="shared" si="7"/>
        <v>#REF!</v>
      </c>
      <c r="G79" s="151" t="e">
        <f t="shared" si="8"/>
        <v>#REF!</v>
      </c>
      <c r="H79" s="298" t="e">
        <f t="shared" si="9"/>
        <v>#REF!</v>
      </c>
      <c r="I79" s="298"/>
      <c r="J79" s="298"/>
    </row>
    <row r="80" spans="2:10" hidden="1" x14ac:dyDescent="0.25">
      <c r="B80" s="125" t="s">
        <v>58</v>
      </c>
      <c r="C80" s="99">
        <v>2.13</v>
      </c>
      <c r="D80" s="297">
        <f>[6]Datos!I$13*C80%</f>
        <v>20800046.742929999</v>
      </c>
      <c r="E80" s="260" t="e">
        <f t="shared" si="6"/>
        <v>#REF!</v>
      </c>
      <c r="F80" s="151" t="e">
        <f t="shared" si="7"/>
        <v>#REF!</v>
      </c>
      <c r="G80" s="151" t="e">
        <f t="shared" si="8"/>
        <v>#REF!</v>
      </c>
      <c r="H80" s="296" t="e">
        <f t="shared" si="9"/>
        <v>#REF!</v>
      </c>
      <c r="I80" s="296"/>
      <c r="J80" s="296"/>
    </row>
    <row r="81" spans="2:10" hidden="1" x14ac:dyDescent="0.25">
      <c r="B81" s="125" t="s">
        <v>59</v>
      </c>
      <c r="C81" s="99">
        <v>2.81</v>
      </c>
      <c r="D81" s="297">
        <f>[6]Datos!I$13*C81%</f>
        <v>27440437.252410002</v>
      </c>
      <c r="E81" s="260" t="e">
        <f t="shared" si="6"/>
        <v>#REF!</v>
      </c>
      <c r="F81" s="151" t="e">
        <f t="shared" si="7"/>
        <v>#REF!</v>
      </c>
      <c r="G81" s="151" t="e">
        <f t="shared" si="8"/>
        <v>#REF!</v>
      </c>
      <c r="H81" s="296" t="e">
        <f t="shared" si="9"/>
        <v>#REF!</v>
      </c>
      <c r="I81" s="296"/>
      <c r="J81" s="296"/>
    </row>
    <row r="82" spans="2:10" hidden="1" x14ac:dyDescent="0.25">
      <c r="B82" s="125" t="s">
        <v>60</v>
      </c>
      <c r="C82" s="99">
        <v>8.34</v>
      </c>
      <c r="D82" s="297">
        <f>[6]Datos!I$13*C82%</f>
        <v>81442436.542740002</v>
      </c>
      <c r="E82" s="260" t="e">
        <f t="shared" si="6"/>
        <v>#REF!</v>
      </c>
      <c r="F82" s="151" t="e">
        <f t="shared" si="7"/>
        <v>#REF!</v>
      </c>
      <c r="G82" s="151" t="e">
        <f t="shared" si="8"/>
        <v>#REF!</v>
      </c>
      <c r="H82" s="298" t="e">
        <f t="shared" si="9"/>
        <v>#REF!</v>
      </c>
      <c r="I82" s="298"/>
      <c r="J82" s="298"/>
    </row>
    <row r="83" spans="2:10" hidden="1" x14ac:dyDescent="0.25">
      <c r="B83" s="125" t="s">
        <v>61</v>
      </c>
      <c r="C83" s="99">
        <v>3.5</v>
      </c>
      <c r="D83" s="297">
        <f>[6]Datos!I$13*C83%</f>
        <v>34178480.563500002</v>
      </c>
      <c r="E83" s="260" t="e">
        <f t="shared" si="6"/>
        <v>#REF!</v>
      </c>
      <c r="F83" s="151" t="e">
        <f t="shared" si="7"/>
        <v>#REF!</v>
      </c>
      <c r="G83" s="151" t="e">
        <f t="shared" si="8"/>
        <v>#REF!</v>
      </c>
      <c r="H83" s="296" t="e">
        <f t="shared" si="9"/>
        <v>#REF!</v>
      </c>
      <c r="I83" s="296"/>
      <c r="J83" s="296"/>
    </row>
    <row r="84" spans="2:10" hidden="1" x14ac:dyDescent="0.25">
      <c r="B84" s="125" t="s">
        <v>62</v>
      </c>
      <c r="C84" s="99">
        <v>39</v>
      </c>
      <c r="D84" s="297">
        <f>[6]Datos!I$13*C84%</f>
        <v>380845926.27900004</v>
      </c>
      <c r="E84" s="260" t="e">
        <f t="shared" si="6"/>
        <v>#REF!</v>
      </c>
      <c r="F84" s="151" t="e">
        <f t="shared" si="7"/>
        <v>#REF!</v>
      </c>
      <c r="G84" s="151" t="e">
        <f t="shared" si="8"/>
        <v>#REF!</v>
      </c>
      <c r="H84" s="298" t="e">
        <f t="shared" si="9"/>
        <v>#REF!</v>
      </c>
      <c r="I84" s="298"/>
      <c r="J84" s="298"/>
    </row>
    <row r="85" spans="2:10" hidden="1" x14ac:dyDescent="0.25">
      <c r="B85" s="125" t="s">
        <v>63</v>
      </c>
      <c r="C85" s="99">
        <v>3.79</v>
      </c>
      <c r="D85" s="297">
        <f>[6]Datos!I$13*C85%</f>
        <v>37010411.810190007</v>
      </c>
      <c r="E85" s="260" t="e">
        <f t="shared" si="6"/>
        <v>#REF!</v>
      </c>
      <c r="F85" s="151" t="e">
        <f t="shared" si="7"/>
        <v>#REF!</v>
      </c>
      <c r="G85" s="151" t="e">
        <f t="shared" si="8"/>
        <v>#REF!</v>
      </c>
      <c r="H85" s="298" t="e">
        <f t="shared" si="9"/>
        <v>#REF!</v>
      </c>
      <c r="I85" s="298"/>
      <c r="J85" s="298"/>
    </row>
    <row r="86" spans="2:10" hidden="1" x14ac:dyDescent="0.25">
      <c r="B86" s="125" t="s">
        <v>64</v>
      </c>
      <c r="C86" s="99">
        <v>3.1</v>
      </c>
      <c r="D86" s="297">
        <f>[6]Datos!I$13*C86%</f>
        <v>30272368.4991</v>
      </c>
      <c r="E86" s="260" t="e">
        <f t="shared" si="6"/>
        <v>#REF!</v>
      </c>
      <c r="F86" s="151" t="e">
        <f t="shared" si="7"/>
        <v>#REF!</v>
      </c>
      <c r="G86" s="151" t="e">
        <f t="shared" si="8"/>
        <v>#REF!</v>
      </c>
      <c r="H86" s="296" t="e">
        <f t="shared" si="9"/>
        <v>#REF!</v>
      </c>
      <c r="I86" s="296"/>
      <c r="J86" s="296"/>
    </row>
    <row r="87" spans="2:10" hidden="1" x14ac:dyDescent="0.25">
      <c r="B87" s="127" t="s">
        <v>65</v>
      </c>
      <c r="C87" s="128">
        <f>SUM(C67:C86)</f>
        <v>100</v>
      </c>
      <c r="D87" s="238">
        <f>SUM(D67:D86)</f>
        <v>976528016.0999999</v>
      </c>
      <c r="E87" s="299" t="e">
        <f t="shared" si="6"/>
        <v>#REF!</v>
      </c>
      <c r="F87" s="300" t="e">
        <f t="shared" si="7"/>
        <v>#REF!</v>
      </c>
      <c r="G87" s="300" t="e">
        <f t="shared" si="8"/>
        <v>#REF!</v>
      </c>
      <c r="H87" s="301">
        <v>0</v>
      </c>
      <c r="I87" s="302"/>
      <c r="J87" s="302"/>
    </row>
    <row r="88" spans="2:10" x14ac:dyDescent="0.25">
      <c r="B88" s="8"/>
      <c r="C88" s="8"/>
      <c r="D88" s="8"/>
      <c r="E88" s="8"/>
      <c r="F88" s="8"/>
      <c r="G88" s="8"/>
      <c r="H88" s="8"/>
      <c r="I88" s="8"/>
      <c r="J88" s="8"/>
    </row>
  </sheetData>
  <mergeCells count="12">
    <mergeCell ref="B3:M3"/>
    <mergeCell ref="B4:M4"/>
    <mergeCell ref="B5:B8"/>
    <mergeCell ref="C5:D5"/>
    <mergeCell ref="E5:F5"/>
    <mergeCell ref="C6:D6"/>
    <mergeCell ref="E6:F6"/>
    <mergeCell ref="B34:D34"/>
    <mergeCell ref="B35:B36"/>
    <mergeCell ref="C35:D35"/>
    <mergeCell ref="B61:H61"/>
    <mergeCell ref="B63:B66"/>
  </mergeCells>
  <pageMargins left="0.70866141732283472" right="0.70866141732283472" top="0.74803149606299213" bottom="0.74803149606299213" header="0.31496062992125984" footer="0.31496062992125984"/>
  <pageSetup scale="67"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Q29"/>
  <sheetViews>
    <sheetView workbookViewId="0">
      <selection activeCell="B1" sqref="B1:G2"/>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9" customWidth="1"/>
    <col min="6" max="6" width="14.28515625" style="129" customWidth="1"/>
    <col min="7" max="7" width="15.42578125" style="129" customWidth="1"/>
    <col min="8" max="8" width="18.42578125" customWidth="1"/>
    <col min="9" max="9" width="19" customWidth="1"/>
    <col min="10" max="10" width="12.85546875" customWidth="1"/>
    <col min="12" max="12" width="12.7109375" bestFit="1" customWidth="1"/>
    <col min="13" max="13" width="11.5703125" bestFit="1" customWidth="1"/>
    <col min="14" max="14" width="12.7109375" bestFit="1" customWidth="1"/>
  </cols>
  <sheetData>
    <row r="1" spans="2:14" ht="15" customHeight="1" x14ac:dyDescent="0.25">
      <c r="B1" s="1058" t="s">
        <v>424</v>
      </c>
      <c r="C1" s="1058"/>
      <c r="D1" s="1058"/>
      <c r="E1" s="1058"/>
      <c r="F1" s="1058"/>
      <c r="G1" s="1058"/>
    </row>
    <row r="2" spans="2:14" ht="15" customHeight="1" x14ac:dyDescent="0.25">
      <c r="B2" s="1058"/>
      <c r="C2" s="1058"/>
      <c r="D2" s="1058"/>
      <c r="E2" s="1058"/>
      <c r="F2" s="1058"/>
      <c r="G2" s="1058"/>
    </row>
    <row r="3" spans="2:14" ht="15.75" thickBot="1" x14ac:dyDescent="0.3"/>
    <row r="4" spans="2:14" ht="15" customHeight="1" x14ac:dyDescent="0.25">
      <c r="B4" s="1059" t="s">
        <v>227</v>
      </c>
      <c r="C4" s="1061" t="s">
        <v>235</v>
      </c>
      <c r="D4" s="1061" t="s">
        <v>194</v>
      </c>
      <c r="E4" s="1063" t="s">
        <v>425</v>
      </c>
      <c r="F4" s="1065" t="s">
        <v>490</v>
      </c>
      <c r="G4" s="1067" t="s">
        <v>236</v>
      </c>
    </row>
    <row r="5" spans="2:14" ht="15" customHeight="1" x14ac:dyDescent="0.25">
      <c r="B5" s="1060"/>
      <c r="C5" s="1062"/>
      <c r="D5" s="1062"/>
      <c r="E5" s="1064"/>
      <c r="F5" s="1066"/>
      <c r="G5" s="1068"/>
    </row>
    <row r="6" spans="2:14" ht="15" customHeight="1" x14ac:dyDescent="0.25">
      <c r="B6" s="1060"/>
      <c r="C6" s="1062"/>
      <c r="D6" s="1062"/>
      <c r="E6" s="1064"/>
      <c r="F6" s="1066"/>
      <c r="G6" s="1068"/>
    </row>
    <row r="7" spans="2:14" ht="15.75" thickBot="1" x14ac:dyDescent="0.3">
      <c r="B7" s="1060"/>
      <c r="C7" s="120" t="s">
        <v>70</v>
      </c>
      <c r="D7" s="310" t="s">
        <v>94</v>
      </c>
      <c r="E7" s="495" t="s">
        <v>71</v>
      </c>
      <c r="F7" s="483" t="s">
        <v>95</v>
      </c>
      <c r="G7" s="484" t="s">
        <v>291</v>
      </c>
    </row>
    <row r="8" spans="2:14" x14ac:dyDescent="0.25">
      <c r="B8" s="347" t="s">
        <v>45</v>
      </c>
      <c r="C8" s="348">
        <v>3.94</v>
      </c>
      <c r="D8" s="349">
        <f>$D$28*C8/100</f>
        <v>812034</v>
      </c>
      <c r="E8" s="350">
        <v>0.05</v>
      </c>
      <c r="F8" s="351">
        <f>$F$28*E8</f>
        <v>762066.0225000002</v>
      </c>
      <c r="G8" s="424">
        <f t="shared" ref="G8:G27" si="0">D8+F8</f>
        <v>1574100.0225000002</v>
      </c>
      <c r="H8" s="131"/>
      <c r="I8" s="181"/>
      <c r="J8" s="104"/>
      <c r="L8" s="104"/>
      <c r="M8" s="104"/>
      <c r="N8" s="104"/>
    </row>
    <row r="9" spans="2:14" x14ac:dyDescent="0.25">
      <c r="B9" s="352" t="s">
        <v>46</v>
      </c>
      <c r="C9" s="353">
        <v>5.78</v>
      </c>
      <c r="D9" s="349">
        <f t="shared" ref="D9:D27" si="1">$D$28*C9/100</f>
        <v>1191258</v>
      </c>
      <c r="E9" s="354">
        <v>0.05</v>
      </c>
      <c r="F9" s="351">
        <f t="shared" ref="F9:F26" si="2">$F$28*E9</f>
        <v>762066.0225000002</v>
      </c>
      <c r="G9" s="425">
        <f t="shared" si="0"/>
        <v>1953324.0225000002</v>
      </c>
      <c r="H9" s="131"/>
      <c r="I9" s="181"/>
      <c r="J9" s="104"/>
      <c r="L9" s="104"/>
      <c r="M9" s="104"/>
      <c r="N9" s="104"/>
    </row>
    <row r="10" spans="2:14" x14ac:dyDescent="0.25">
      <c r="B10" s="352" t="s">
        <v>47</v>
      </c>
      <c r="C10" s="353">
        <v>6.12</v>
      </c>
      <c r="D10" s="349">
        <f t="shared" si="1"/>
        <v>1261332</v>
      </c>
      <c r="E10" s="354">
        <v>0.05</v>
      </c>
      <c r="F10" s="351">
        <f t="shared" si="2"/>
        <v>762066.0225000002</v>
      </c>
      <c r="G10" s="425">
        <f t="shared" si="0"/>
        <v>2023398.0225000002</v>
      </c>
      <c r="H10" s="131"/>
      <c r="I10" s="181"/>
      <c r="J10" s="104"/>
      <c r="L10" s="104"/>
      <c r="M10" s="104"/>
      <c r="N10" s="104"/>
    </row>
    <row r="11" spans="2:14" x14ac:dyDescent="0.25">
      <c r="B11" s="352" t="s">
        <v>48</v>
      </c>
      <c r="C11" s="353">
        <v>5.08</v>
      </c>
      <c r="D11" s="349">
        <f t="shared" si="1"/>
        <v>1046988</v>
      </c>
      <c r="E11" s="354">
        <v>0.05</v>
      </c>
      <c r="F11" s="351">
        <f t="shared" si="2"/>
        <v>762066.0225000002</v>
      </c>
      <c r="G11" s="425">
        <f t="shared" si="0"/>
        <v>1809054.0225000002</v>
      </c>
      <c r="H11" s="131"/>
      <c r="I11" s="181"/>
      <c r="J11" s="104"/>
      <c r="L11" s="104"/>
      <c r="M11" s="104"/>
      <c r="N11" s="104"/>
    </row>
    <row r="12" spans="2:14" x14ac:dyDescent="0.25">
      <c r="B12" s="352" t="s">
        <v>49</v>
      </c>
      <c r="C12" s="353">
        <v>3.07</v>
      </c>
      <c r="D12" s="349">
        <f t="shared" si="1"/>
        <v>632727</v>
      </c>
      <c r="E12" s="354">
        <v>0.05</v>
      </c>
      <c r="F12" s="351">
        <f t="shared" si="2"/>
        <v>762066.0225000002</v>
      </c>
      <c r="G12" s="425">
        <f t="shared" si="0"/>
        <v>1394793.0225000002</v>
      </c>
      <c r="H12" s="131"/>
      <c r="I12" s="181"/>
      <c r="J12" s="104"/>
      <c r="L12" s="104"/>
      <c r="M12" s="104"/>
      <c r="N12" s="104"/>
    </row>
    <row r="13" spans="2:14" x14ac:dyDescent="0.25">
      <c r="B13" s="352" t="s">
        <v>50</v>
      </c>
      <c r="C13" s="353">
        <v>9.51</v>
      </c>
      <c r="D13" s="349">
        <f t="shared" si="1"/>
        <v>1960011</v>
      </c>
      <c r="E13" s="354">
        <v>0.05</v>
      </c>
      <c r="F13" s="351">
        <f t="shared" si="2"/>
        <v>762066.0225000002</v>
      </c>
      <c r="G13" s="425">
        <f t="shared" si="0"/>
        <v>2722077.0225</v>
      </c>
      <c r="H13" s="131"/>
      <c r="I13" s="181"/>
      <c r="J13" s="104"/>
      <c r="L13" s="104"/>
      <c r="M13" s="104"/>
      <c r="N13" s="104"/>
    </row>
    <row r="14" spans="2:14" x14ac:dyDescent="0.25">
      <c r="B14" s="352" t="s">
        <v>51</v>
      </c>
      <c r="C14" s="353">
        <v>9.33</v>
      </c>
      <c r="D14" s="349">
        <f t="shared" si="1"/>
        <v>1922913</v>
      </c>
      <c r="E14" s="354">
        <v>0.05</v>
      </c>
      <c r="F14" s="351">
        <f t="shared" si="2"/>
        <v>762066.0225000002</v>
      </c>
      <c r="G14" s="425">
        <f t="shared" si="0"/>
        <v>2684979.0225</v>
      </c>
      <c r="H14" s="131"/>
      <c r="I14" s="181"/>
      <c r="J14" s="104"/>
      <c r="L14" s="104"/>
      <c r="M14" s="104"/>
      <c r="N14" s="104"/>
    </row>
    <row r="15" spans="2:14" x14ac:dyDescent="0.25">
      <c r="B15" s="352" t="s">
        <v>52</v>
      </c>
      <c r="C15" s="353">
        <v>4.5199999999999996</v>
      </c>
      <c r="D15" s="349">
        <f t="shared" si="1"/>
        <v>931571.99999999988</v>
      </c>
      <c r="E15" s="354">
        <v>0.05</v>
      </c>
      <c r="F15" s="351">
        <f t="shared" si="2"/>
        <v>762066.0225000002</v>
      </c>
      <c r="G15" s="425">
        <f t="shared" si="0"/>
        <v>1693638.0225</v>
      </c>
      <c r="H15" s="131"/>
      <c r="I15" s="181"/>
      <c r="J15" s="104"/>
      <c r="L15" s="104"/>
      <c r="M15" s="104"/>
      <c r="N15" s="104"/>
    </row>
    <row r="16" spans="2:14" x14ac:dyDescent="0.25">
      <c r="B16" s="352" t="s">
        <v>53</v>
      </c>
      <c r="C16" s="353">
        <v>5.08</v>
      </c>
      <c r="D16" s="349">
        <f t="shared" si="1"/>
        <v>1046988</v>
      </c>
      <c r="E16" s="354">
        <v>0.05</v>
      </c>
      <c r="F16" s="351">
        <f t="shared" si="2"/>
        <v>762066.0225000002</v>
      </c>
      <c r="G16" s="425">
        <f t="shared" si="0"/>
        <v>1809054.0225000002</v>
      </c>
      <c r="H16" s="131"/>
      <c r="I16" s="181"/>
      <c r="J16" s="104"/>
      <c r="L16" s="104"/>
      <c r="M16" s="104"/>
      <c r="N16" s="104"/>
    </row>
    <row r="17" spans="2:17" x14ac:dyDescent="0.25">
      <c r="B17" s="352" t="s">
        <v>54</v>
      </c>
      <c r="C17" s="353">
        <v>8.92</v>
      </c>
      <c r="D17" s="349">
        <f t="shared" si="1"/>
        <v>1838412</v>
      </c>
      <c r="E17" s="354">
        <v>0.05</v>
      </c>
      <c r="F17" s="351">
        <f t="shared" si="2"/>
        <v>762066.0225000002</v>
      </c>
      <c r="G17" s="425">
        <f t="shared" si="0"/>
        <v>2600478.0225</v>
      </c>
      <c r="H17" s="131"/>
      <c r="I17" s="181"/>
      <c r="J17" s="104"/>
      <c r="L17" s="104"/>
      <c r="M17" s="104"/>
      <c r="N17" s="104"/>
    </row>
    <row r="18" spans="2:17" x14ac:dyDescent="0.25">
      <c r="B18" s="352" t="s">
        <v>55</v>
      </c>
      <c r="C18" s="353">
        <v>5.0199999999999996</v>
      </c>
      <c r="D18" s="349">
        <f t="shared" si="1"/>
        <v>1034621.9999999999</v>
      </c>
      <c r="E18" s="354">
        <v>0.05</v>
      </c>
      <c r="F18" s="351">
        <f t="shared" si="2"/>
        <v>762066.0225000002</v>
      </c>
      <c r="G18" s="425">
        <f t="shared" si="0"/>
        <v>1796688.0225</v>
      </c>
      <c r="H18" s="131"/>
      <c r="I18" s="181"/>
      <c r="J18" s="104"/>
      <c r="L18" s="104"/>
      <c r="M18" s="104"/>
      <c r="N18" s="104"/>
    </row>
    <row r="19" spans="2:17" x14ac:dyDescent="0.25">
      <c r="B19" s="352" t="s">
        <v>56</v>
      </c>
      <c r="C19" s="353">
        <v>4.29</v>
      </c>
      <c r="D19" s="349">
        <f t="shared" si="1"/>
        <v>884169</v>
      </c>
      <c r="E19" s="354">
        <v>0.05</v>
      </c>
      <c r="F19" s="351">
        <f t="shared" si="2"/>
        <v>762066.0225000002</v>
      </c>
      <c r="G19" s="425">
        <f t="shared" si="0"/>
        <v>1646235.0225000002</v>
      </c>
      <c r="H19" s="131"/>
      <c r="I19" s="181"/>
      <c r="J19" s="104"/>
      <c r="L19" s="104"/>
      <c r="M19" s="104"/>
      <c r="N19" s="104"/>
    </row>
    <row r="20" spans="2:17" x14ac:dyDescent="0.25">
      <c r="B20" s="352" t="s">
        <v>57</v>
      </c>
      <c r="C20" s="353">
        <v>3.04</v>
      </c>
      <c r="D20" s="349">
        <f t="shared" si="1"/>
        <v>626544</v>
      </c>
      <c r="E20" s="354">
        <v>0.05</v>
      </c>
      <c r="F20" s="351">
        <f t="shared" si="2"/>
        <v>762066.0225000002</v>
      </c>
      <c r="G20" s="425">
        <f t="shared" si="0"/>
        <v>1388610.0225000002</v>
      </c>
      <c r="H20" s="131"/>
      <c r="I20" s="181"/>
      <c r="J20" s="104"/>
      <c r="L20" s="104"/>
      <c r="M20" s="104"/>
      <c r="N20" s="104"/>
    </row>
    <row r="21" spans="2:17" x14ac:dyDescent="0.25">
      <c r="B21" s="352" t="s">
        <v>58</v>
      </c>
      <c r="C21" s="353">
        <v>6.7</v>
      </c>
      <c r="D21" s="349">
        <f t="shared" si="1"/>
        <v>1380870</v>
      </c>
      <c r="E21" s="354">
        <v>0.05</v>
      </c>
      <c r="F21" s="351">
        <f t="shared" si="2"/>
        <v>762066.0225000002</v>
      </c>
      <c r="G21" s="425">
        <f t="shared" si="0"/>
        <v>2142936.0225</v>
      </c>
      <c r="H21" s="131"/>
      <c r="I21" s="181"/>
      <c r="J21" s="104"/>
      <c r="L21" s="104"/>
      <c r="M21" s="104"/>
      <c r="N21" s="104"/>
    </row>
    <row r="22" spans="2:17" x14ac:dyDescent="0.25">
      <c r="B22" s="352" t="s">
        <v>59</v>
      </c>
      <c r="C22" s="353">
        <v>5.08</v>
      </c>
      <c r="D22" s="349">
        <f t="shared" si="1"/>
        <v>1046988</v>
      </c>
      <c r="E22" s="354">
        <v>0.05</v>
      </c>
      <c r="F22" s="351">
        <f t="shared" si="2"/>
        <v>762066.0225000002</v>
      </c>
      <c r="G22" s="425">
        <f t="shared" si="0"/>
        <v>1809054.0225000002</v>
      </c>
      <c r="H22" s="131"/>
      <c r="I22" s="181"/>
      <c r="J22" s="104"/>
      <c r="L22" s="104"/>
      <c r="M22" s="104"/>
      <c r="N22" s="104"/>
    </row>
    <row r="23" spans="2:17" x14ac:dyDescent="0.25">
      <c r="B23" s="352" t="s">
        <v>60</v>
      </c>
      <c r="C23" s="353">
        <v>1.7</v>
      </c>
      <c r="D23" s="349">
        <f t="shared" si="1"/>
        <v>350370</v>
      </c>
      <c r="E23" s="354">
        <v>0.05</v>
      </c>
      <c r="F23" s="351">
        <f t="shared" si="2"/>
        <v>762066.0225000002</v>
      </c>
      <c r="G23" s="425">
        <f t="shared" si="0"/>
        <v>1112436.0225000002</v>
      </c>
      <c r="H23" s="131"/>
      <c r="I23" s="181"/>
      <c r="J23" s="104"/>
      <c r="L23" s="104"/>
      <c r="M23" s="104"/>
      <c r="N23" s="104"/>
    </row>
    <row r="24" spans="2:17" x14ac:dyDescent="0.25">
      <c r="B24" s="352" t="s">
        <v>61</v>
      </c>
      <c r="C24" s="353">
        <v>4.08</v>
      </c>
      <c r="D24" s="349">
        <f t="shared" si="1"/>
        <v>840888</v>
      </c>
      <c r="E24" s="354">
        <v>0.05</v>
      </c>
      <c r="F24" s="351">
        <f t="shared" si="2"/>
        <v>762066.0225000002</v>
      </c>
      <c r="G24" s="425">
        <f t="shared" si="0"/>
        <v>1602954.0225000002</v>
      </c>
      <c r="H24" s="131"/>
      <c r="I24" s="181"/>
      <c r="J24" s="104"/>
      <c r="L24" s="104"/>
      <c r="M24" s="104"/>
      <c r="N24" s="104"/>
    </row>
    <row r="25" spans="2:17" x14ac:dyDescent="0.25">
      <c r="B25" s="352" t="s">
        <v>62</v>
      </c>
      <c r="C25" s="353">
        <v>0.37</v>
      </c>
      <c r="D25" s="349">
        <f t="shared" si="1"/>
        <v>76257</v>
      </c>
      <c r="E25" s="354">
        <v>0.05</v>
      </c>
      <c r="F25" s="351">
        <f t="shared" si="2"/>
        <v>762066.0225000002</v>
      </c>
      <c r="G25" s="425">
        <f t="shared" si="0"/>
        <v>838323.0225000002</v>
      </c>
      <c r="H25" s="131"/>
      <c r="I25" s="181"/>
      <c r="J25" s="104"/>
      <c r="L25" s="104"/>
      <c r="M25" s="104"/>
      <c r="N25" s="104"/>
    </row>
    <row r="26" spans="2:17" x14ac:dyDescent="0.25">
      <c r="B26" s="352" t="s">
        <v>63</v>
      </c>
      <c r="C26" s="353">
        <v>3.77</v>
      </c>
      <c r="D26" s="349">
        <f t="shared" si="1"/>
        <v>776997</v>
      </c>
      <c r="E26" s="354">
        <v>0.05</v>
      </c>
      <c r="F26" s="351">
        <f t="shared" si="2"/>
        <v>762066.0225000002</v>
      </c>
      <c r="G26" s="425">
        <f t="shared" si="0"/>
        <v>1539063.0225000002</v>
      </c>
      <c r="H26" s="131"/>
      <c r="I26" s="181"/>
      <c r="J26" s="104"/>
      <c r="L26" s="104"/>
      <c r="M26" s="104"/>
      <c r="N26" s="104"/>
    </row>
    <row r="27" spans="2:17" ht="15.75" thickBot="1" x14ac:dyDescent="0.3">
      <c r="B27" s="355" t="s">
        <v>64</v>
      </c>
      <c r="C27" s="356">
        <v>4.5999999999999996</v>
      </c>
      <c r="D27" s="357">
        <f t="shared" si="1"/>
        <v>948060</v>
      </c>
      <c r="E27" s="358">
        <v>0.05</v>
      </c>
      <c r="F27" s="351">
        <f>$F$28*E27</f>
        <v>762066.0225000002</v>
      </c>
      <c r="G27" s="425">
        <f t="shared" si="0"/>
        <v>1710126.0225000002</v>
      </c>
      <c r="H27" s="131"/>
      <c r="I27" s="181"/>
      <c r="J27" s="104"/>
      <c r="L27" s="104"/>
      <c r="M27" s="104"/>
      <c r="N27" s="104"/>
    </row>
    <row r="28" spans="2:17" ht="15.75" thickBot="1" x14ac:dyDescent="0.3">
      <c r="B28" s="284" t="s">
        <v>65</v>
      </c>
      <c r="C28" s="359">
        <f t="shared" ref="C28" si="3">SUM(C8:C27)</f>
        <v>100</v>
      </c>
      <c r="D28" s="286">
        <f>Datos!K50</f>
        <v>20610000</v>
      </c>
      <c r="E28" s="303">
        <v>100</v>
      </c>
      <c r="F28" s="360">
        <f>Datos!K51</f>
        <v>15241320.450000003</v>
      </c>
      <c r="G28" s="361">
        <f>SUM(G8:G27)</f>
        <v>35851320.45000001</v>
      </c>
      <c r="H28" s="481"/>
      <c r="I28" s="137"/>
      <c r="J28" s="549"/>
      <c r="K28" s="137"/>
      <c r="L28" s="549"/>
      <c r="M28" s="549"/>
      <c r="N28" s="549"/>
      <c r="O28" s="137"/>
      <c r="P28" s="137"/>
      <c r="Q28" s="137"/>
    </row>
    <row r="29" spans="2:17" x14ac:dyDescent="0.25">
      <c r="B29" s="1045" t="s">
        <v>287</v>
      </c>
      <c r="C29" s="1045"/>
      <c r="D29" s="1045"/>
      <c r="E29" s="1045"/>
      <c r="F29" s="1045"/>
      <c r="G29" s="1045"/>
      <c r="H29" s="480"/>
      <c r="I29" s="480"/>
      <c r="J29" s="550"/>
      <c r="K29" s="480"/>
      <c r="L29" s="480"/>
      <c r="M29" s="480"/>
      <c r="N29" s="480"/>
      <c r="O29" s="480"/>
      <c r="P29" s="480"/>
      <c r="Q29" s="480"/>
    </row>
  </sheetData>
  <mergeCells count="8">
    <mergeCell ref="B29:G29"/>
    <mergeCell ref="B1:G2"/>
    <mergeCell ref="B4:B7"/>
    <mergeCell ref="D4:D6"/>
    <mergeCell ref="C4:C6"/>
    <mergeCell ref="E4:E6"/>
    <mergeCell ref="F4:F6"/>
    <mergeCell ref="G4:G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Q30"/>
  <sheetViews>
    <sheetView workbookViewId="0">
      <selection activeCell="B1" sqref="B1:E2"/>
    </sheetView>
  </sheetViews>
  <sheetFormatPr baseColWidth="10" defaultColWidth="11.42578125" defaultRowHeight="14.25" x14ac:dyDescent="0.2"/>
  <cols>
    <col min="1" max="1" width="3.5703125" style="8" customWidth="1"/>
    <col min="2" max="2" width="20.42578125" style="8" customWidth="1"/>
    <col min="3" max="3" width="10.140625" style="8" bestFit="1" customWidth="1"/>
    <col min="4" max="4" width="14.42578125" style="8" customWidth="1"/>
    <col min="5" max="5" width="14.5703125" style="8" customWidth="1"/>
    <col min="6" max="16384" width="11.42578125" style="8"/>
  </cols>
  <sheetData>
    <row r="1" spans="2:5" ht="15" customHeight="1" x14ac:dyDescent="0.2">
      <c r="B1" s="1058" t="s">
        <v>426</v>
      </c>
      <c r="C1" s="1058"/>
      <c r="D1" s="1058"/>
      <c r="E1" s="1058"/>
    </row>
    <row r="2" spans="2:5" ht="15" customHeight="1" x14ac:dyDescent="0.2">
      <c r="B2" s="1058"/>
      <c r="C2" s="1058"/>
      <c r="D2" s="1058"/>
      <c r="E2" s="1058"/>
    </row>
    <row r="3" spans="2:5" ht="15" thickBot="1" x14ac:dyDescent="0.25"/>
    <row r="4" spans="2:5" ht="15" customHeight="1" x14ac:dyDescent="0.2">
      <c r="B4" s="1049" t="s">
        <v>227</v>
      </c>
      <c r="C4" s="1071" t="s">
        <v>21</v>
      </c>
      <c r="D4" s="1071"/>
      <c r="E4" s="1069" t="s">
        <v>87</v>
      </c>
    </row>
    <row r="5" spans="2:5" ht="15" customHeight="1" x14ac:dyDescent="0.2">
      <c r="B5" s="1050"/>
      <c r="C5" s="1072">
        <v>2020</v>
      </c>
      <c r="D5" s="1072"/>
      <c r="E5" s="1015"/>
    </row>
    <row r="6" spans="2:5" ht="15" customHeight="1" x14ac:dyDescent="0.25">
      <c r="B6" s="1050"/>
      <c r="C6" s="362" t="s">
        <v>38</v>
      </c>
      <c r="D6" s="362" t="s">
        <v>37</v>
      </c>
      <c r="E6" s="1015"/>
    </row>
    <row r="7" spans="2:5" ht="15" customHeight="1" thickBot="1" x14ac:dyDescent="0.3">
      <c r="B7" s="1051"/>
      <c r="C7" s="363" t="s">
        <v>70</v>
      </c>
      <c r="D7" s="364" t="s">
        <v>442</v>
      </c>
      <c r="E7" s="365" t="s">
        <v>441</v>
      </c>
    </row>
    <row r="8" spans="2:5" x14ac:dyDescent="0.2">
      <c r="B8" s="352" t="s">
        <v>45</v>
      </c>
      <c r="C8" s="366">
        <f>'CENSO 2020'!C10</f>
        <v>37232</v>
      </c>
      <c r="D8" s="367">
        <f>C8/$C$28*100</f>
        <v>3.0136241193535018</v>
      </c>
      <c r="E8" s="914">
        <f>$E$28*D8/100</f>
        <v>2199795.1617381759</v>
      </c>
    </row>
    <row r="9" spans="2:5" x14ac:dyDescent="0.2">
      <c r="B9" s="352" t="s">
        <v>46</v>
      </c>
      <c r="C9" s="370">
        <f>'CENSO 2020'!C11</f>
        <v>15393</v>
      </c>
      <c r="D9" s="371">
        <f t="shared" ref="D9:D27" si="0">C9/$C$28*100</f>
        <v>1.2459367229589724</v>
      </c>
      <c r="E9" s="369">
        <f t="shared" ref="E9:E27" si="1">$E$28*D9/100</f>
        <v>909471.60841845046</v>
      </c>
    </row>
    <row r="10" spans="2:5" x14ac:dyDescent="0.2">
      <c r="B10" s="352" t="s">
        <v>47</v>
      </c>
      <c r="C10" s="370">
        <f>'CENSO 2020'!C12</f>
        <v>11536</v>
      </c>
      <c r="D10" s="371">
        <f t="shared" si="0"/>
        <v>0.93374430169912959</v>
      </c>
      <c r="E10" s="369">
        <f t="shared" si="1"/>
        <v>681586.72609077126</v>
      </c>
    </row>
    <row r="11" spans="2:5" x14ac:dyDescent="0.2">
      <c r="B11" s="352" t="s">
        <v>48</v>
      </c>
      <c r="C11" s="370">
        <f>'CENSO 2020'!C13</f>
        <v>187632</v>
      </c>
      <c r="D11" s="371">
        <f t="shared" si="0"/>
        <v>15.187266887691669</v>
      </c>
      <c r="E11" s="369">
        <f t="shared" si="1"/>
        <v>11085946.65307417</v>
      </c>
    </row>
    <row r="12" spans="2:5" x14ac:dyDescent="0.2">
      <c r="B12" s="352" t="s">
        <v>49</v>
      </c>
      <c r="C12" s="370">
        <f>'CENSO 2020'!C14</f>
        <v>77436</v>
      </c>
      <c r="D12" s="371">
        <f t="shared" si="0"/>
        <v>6.2678071902196431</v>
      </c>
      <c r="E12" s="369">
        <f t="shared" si="1"/>
        <v>4575186.3489567414</v>
      </c>
    </row>
    <row r="13" spans="2:5" x14ac:dyDescent="0.2">
      <c r="B13" s="352" t="s">
        <v>50</v>
      </c>
      <c r="C13" s="370">
        <f>'CENSO 2020'!C15</f>
        <v>47550</v>
      </c>
      <c r="D13" s="371">
        <f t="shared" si="0"/>
        <v>3.8487813406547868</v>
      </c>
      <c r="E13" s="369">
        <f t="shared" si="1"/>
        <v>2809418.2407781016</v>
      </c>
    </row>
    <row r="14" spans="2:5" x14ac:dyDescent="0.2">
      <c r="B14" s="352" t="s">
        <v>51</v>
      </c>
      <c r="C14" s="370">
        <f>'CENSO 2020'!C16</f>
        <v>12230</v>
      </c>
      <c r="D14" s="371">
        <f t="shared" si="0"/>
        <v>0.98991789266473262</v>
      </c>
      <c r="E14" s="369">
        <f t="shared" si="1"/>
        <v>722590.64321169676</v>
      </c>
    </row>
    <row r="15" spans="2:5" x14ac:dyDescent="0.2">
      <c r="B15" s="352" t="s">
        <v>52</v>
      </c>
      <c r="C15" s="370">
        <f>'CENSO 2020'!C17</f>
        <v>29299</v>
      </c>
      <c r="D15" s="371">
        <f t="shared" si="0"/>
        <v>2.3715130283878989</v>
      </c>
      <c r="E15" s="369">
        <f t="shared" si="1"/>
        <v>1731086.1206426416</v>
      </c>
    </row>
    <row r="16" spans="2:5" x14ac:dyDescent="0.2">
      <c r="B16" s="352" t="s">
        <v>53</v>
      </c>
      <c r="C16" s="370">
        <f>'CENSO 2020'!C18</f>
        <v>19321</v>
      </c>
      <c r="D16" s="371">
        <f t="shared" si="0"/>
        <v>1.563876010153336</v>
      </c>
      <c r="E16" s="369">
        <f t="shared" si="1"/>
        <v>1141551.4159847256</v>
      </c>
    </row>
    <row r="17" spans="2:17" x14ac:dyDescent="0.2">
      <c r="B17" s="352" t="s">
        <v>54</v>
      </c>
      <c r="C17" s="370">
        <f>'CENSO 2020'!C19</f>
        <v>13719</v>
      </c>
      <c r="D17" s="371">
        <f t="shared" si="0"/>
        <v>1.1104401937422297</v>
      </c>
      <c r="E17" s="369">
        <f t="shared" si="1"/>
        <v>810565.9063140857</v>
      </c>
    </row>
    <row r="18" spans="2:17" x14ac:dyDescent="0.2">
      <c r="B18" s="352" t="s">
        <v>55</v>
      </c>
      <c r="C18" s="370">
        <f>'CENSO 2020'!C20</f>
        <v>33567</v>
      </c>
      <c r="D18" s="371">
        <f t="shared" si="0"/>
        <v>2.7169725186489848</v>
      </c>
      <c r="E18" s="369">
        <f t="shared" si="1"/>
        <v>1983254.3025909259</v>
      </c>
    </row>
    <row r="19" spans="2:17" x14ac:dyDescent="0.2">
      <c r="B19" s="352" t="s">
        <v>56</v>
      </c>
      <c r="C19" s="370">
        <f>'CENSO 2020'!C21</f>
        <v>24096</v>
      </c>
      <c r="D19" s="371">
        <f t="shared" si="0"/>
        <v>1.9503729796933278</v>
      </c>
      <c r="E19" s="369">
        <f t="shared" si="1"/>
        <v>1423674.9091438302</v>
      </c>
    </row>
    <row r="20" spans="2:17" x14ac:dyDescent="0.2">
      <c r="B20" s="352" t="s">
        <v>57</v>
      </c>
      <c r="C20" s="370">
        <f>'CENSO 2020'!C22</f>
        <v>41518</v>
      </c>
      <c r="D20" s="371">
        <f t="shared" si="0"/>
        <v>3.3605405615416495</v>
      </c>
      <c r="E20" s="369">
        <f t="shared" si="1"/>
        <v>2453026.8458596258</v>
      </c>
    </row>
    <row r="21" spans="2:17" x14ac:dyDescent="0.2">
      <c r="B21" s="352" t="s">
        <v>58</v>
      </c>
      <c r="C21" s="370">
        <f>'CENSO 2020'!C23</f>
        <v>7683</v>
      </c>
      <c r="D21" s="371">
        <f t="shared" si="0"/>
        <v>0.62187564753418989</v>
      </c>
      <c r="E21" s="369">
        <f t="shared" si="1"/>
        <v>453938.17757935135</v>
      </c>
    </row>
    <row r="22" spans="2:17" x14ac:dyDescent="0.2">
      <c r="B22" s="352" t="s">
        <v>59</v>
      </c>
      <c r="C22" s="370">
        <f>'CENSO 2020'!C24</f>
        <v>24911</v>
      </c>
      <c r="D22" s="371">
        <f t="shared" si="0"/>
        <v>2.0163405252797348</v>
      </c>
      <c r="E22" s="369">
        <f t="shared" si="1"/>
        <v>1471827.9242065887</v>
      </c>
    </row>
    <row r="23" spans="2:17" x14ac:dyDescent="0.2">
      <c r="B23" s="352" t="s">
        <v>60</v>
      </c>
      <c r="C23" s="370">
        <f>'CENSO 2020'!C25</f>
        <v>93981</v>
      </c>
      <c r="D23" s="371">
        <f t="shared" si="0"/>
        <v>7.6069888365105687</v>
      </c>
      <c r="E23" s="369">
        <f t="shared" si="1"/>
        <v>5552722.0964577664</v>
      </c>
    </row>
    <row r="24" spans="2:17" x14ac:dyDescent="0.2">
      <c r="B24" s="352" t="s">
        <v>61</v>
      </c>
      <c r="C24" s="370">
        <f>'CENSO 2020'!C26</f>
        <v>37135</v>
      </c>
      <c r="D24" s="371">
        <f t="shared" si="0"/>
        <v>3.0057727673021133</v>
      </c>
      <c r="E24" s="369">
        <f t="shared" si="1"/>
        <v>2194064.0666938964</v>
      </c>
    </row>
    <row r="25" spans="2:17" x14ac:dyDescent="0.2">
      <c r="B25" s="352" t="s">
        <v>62</v>
      </c>
      <c r="C25" s="370">
        <f>'CENSO 2020'!C27</f>
        <v>425924</v>
      </c>
      <c r="D25" s="371">
        <f t="shared" si="0"/>
        <v>34.475044032324909</v>
      </c>
      <c r="E25" s="369">
        <f t="shared" si="1"/>
        <v>25165061.089067765</v>
      </c>
    </row>
    <row r="26" spans="2:17" x14ac:dyDescent="0.2">
      <c r="B26" s="352" t="s">
        <v>63</v>
      </c>
      <c r="C26" s="370">
        <f>'CENSO 2020'!C28</f>
        <v>30064</v>
      </c>
      <c r="D26" s="371">
        <f t="shared" si="0"/>
        <v>2.4334334852880231</v>
      </c>
      <c r="E26" s="369">
        <f t="shared" si="1"/>
        <v>1776284.963002163</v>
      </c>
    </row>
    <row r="27" spans="2:17" ht="15" thickBot="1" x14ac:dyDescent="0.25">
      <c r="B27" s="352" t="s">
        <v>64</v>
      </c>
      <c r="C27" s="699">
        <f>'CENSO 2020'!C29</f>
        <v>65229</v>
      </c>
      <c r="D27" s="372">
        <f t="shared" si="0"/>
        <v>5.2797509583506006</v>
      </c>
      <c r="E27" s="369">
        <f t="shared" si="1"/>
        <v>3853954.6251885337</v>
      </c>
    </row>
    <row r="28" spans="2:17" ht="15.75" thickBot="1" x14ac:dyDescent="0.3">
      <c r="B28" s="284" t="s">
        <v>65</v>
      </c>
      <c r="C28" s="373">
        <f>SUM(C8:C27)</f>
        <v>1235456</v>
      </c>
      <c r="D28" s="374">
        <f>SUM(D8:D27)</f>
        <v>100</v>
      </c>
      <c r="E28" s="375">
        <f>Datos!K56</f>
        <v>72995007.825000003</v>
      </c>
    </row>
    <row r="29" spans="2:17" ht="15" customHeight="1" x14ac:dyDescent="0.2">
      <c r="B29" s="1070" t="s">
        <v>287</v>
      </c>
      <c r="C29" s="1070"/>
      <c r="D29" s="1070"/>
      <c r="E29" s="1070"/>
    </row>
    <row r="30" spans="2:17" ht="35.25" customHeight="1" x14ac:dyDescent="0.2">
      <c r="B30" s="1048" t="s">
        <v>339</v>
      </c>
      <c r="C30" s="1004"/>
      <c r="D30" s="1004"/>
      <c r="E30" s="1004"/>
      <c r="F30" s="482"/>
      <c r="G30" s="482"/>
      <c r="H30" s="482"/>
      <c r="I30" s="482"/>
      <c r="J30" s="482"/>
      <c r="K30" s="482"/>
      <c r="L30" s="482"/>
      <c r="M30" s="482"/>
      <c r="N30" s="482"/>
      <c r="O30" s="482"/>
      <c r="P30" s="482"/>
      <c r="Q30" s="482"/>
    </row>
  </sheetData>
  <mergeCells count="7">
    <mergeCell ref="B1:E2"/>
    <mergeCell ref="E4:E6"/>
    <mergeCell ref="B29:E29"/>
    <mergeCell ref="B30:E30"/>
    <mergeCell ref="B4:B7"/>
    <mergeCell ref="C4:D4"/>
    <mergeCell ref="C5:D5"/>
  </mergeCells>
  <printOptions horizontalCentered="1"/>
  <pageMargins left="0.70866141732283472" right="0.39370078740157483" top="0.49"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29"/>
  <sheetViews>
    <sheetView workbookViewId="0">
      <selection activeCell="B1" sqref="B1:K1"/>
    </sheetView>
  </sheetViews>
  <sheetFormatPr baseColWidth="10" defaultRowHeight="15" x14ac:dyDescent="0.25"/>
  <cols>
    <col min="1" max="1" width="3.5703125" customWidth="1"/>
    <col min="2" max="2" width="21.28515625" customWidth="1"/>
    <col min="3" max="3" width="15.28515625" customWidth="1"/>
    <col min="4" max="4" width="17" customWidth="1"/>
    <col min="5" max="5" width="14.7109375" customWidth="1"/>
    <col min="6" max="6" width="15.28515625" bestFit="1" customWidth="1"/>
    <col min="7" max="9" width="15.5703125" customWidth="1"/>
    <col min="10" max="10" width="15.5703125" hidden="1" customWidth="1"/>
    <col min="11" max="11" width="14.140625" hidden="1" customWidth="1"/>
    <col min="12" max="12" width="19" hidden="1" customWidth="1"/>
    <col min="13" max="13" width="17.5703125" hidden="1" customWidth="1"/>
    <col min="14" max="14" width="16.5703125" hidden="1" customWidth="1"/>
    <col min="15" max="15" width="14.85546875" hidden="1" customWidth="1"/>
    <col min="16" max="17" width="15.42578125" style="9" hidden="1" customWidth="1"/>
    <col min="18" max="18" width="15.85546875" customWidth="1"/>
    <col min="19" max="19" width="14.7109375" customWidth="1"/>
    <col min="20" max="20" width="15.140625" customWidth="1"/>
  </cols>
  <sheetData>
    <row r="1" spans="2:24" x14ac:dyDescent="0.25">
      <c r="B1" s="1018" t="s">
        <v>444</v>
      </c>
      <c r="C1" s="1018"/>
      <c r="D1" s="1018"/>
      <c r="E1" s="1018"/>
      <c r="F1" s="1018"/>
      <c r="G1" s="1018"/>
      <c r="H1" s="1018"/>
      <c r="I1" s="1018"/>
      <c r="J1" s="1076"/>
      <c r="K1" s="1076"/>
      <c r="L1" s="8"/>
      <c r="M1" s="8"/>
      <c r="N1" s="8"/>
      <c r="O1" s="8"/>
      <c r="R1" s="153"/>
    </row>
    <row r="2" spans="2:24" ht="15.75" thickBot="1" x14ac:dyDescent="0.3">
      <c r="L2" s="154"/>
      <c r="M2" s="154"/>
      <c r="N2" s="154"/>
      <c r="O2" s="154"/>
      <c r="P2" s="154"/>
      <c r="Q2" s="154"/>
      <c r="R2" s="154"/>
    </row>
    <row r="3" spans="2:24" ht="15" customHeight="1" x14ac:dyDescent="0.25">
      <c r="B3" s="1077" t="s">
        <v>227</v>
      </c>
      <c r="C3" s="308" t="s">
        <v>136</v>
      </c>
      <c r="D3" s="1080" t="s">
        <v>231</v>
      </c>
      <c r="E3" s="400" t="s">
        <v>137</v>
      </c>
      <c r="F3" s="1080" t="s">
        <v>232</v>
      </c>
      <c r="G3" s="400" t="s">
        <v>29</v>
      </c>
      <c r="H3" s="1080" t="s">
        <v>233</v>
      </c>
      <c r="I3" s="1082" t="s">
        <v>234</v>
      </c>
      <c r="J3" s="162"/>
      <c r="K3" s="86" t="s">
        <v>138</v>
      </c>
      <c r="L3" s="86"/>
      <c r="M3" s="86" t="s">
        <v>24</v>
      </c>
      <c r="N3" s="1075"/>
      <c r="O3" s="1075"/>
      <c r="P3" s="154"/>
      <c r="Q3" s="154"/>
      <c r="R3" s="154"/>
      <c r="S3" s="154"/>
      <c r="T3" s="129"/>
      <c r="U3" s="129"/>
      <c r="V3" s="137"/>
      <c r="W3" s="137"/>
      <c r="X3" s="137"/>
    </row>
    <row r="4" spans="2:24" x14ac:dyDescent="0.25">
      <c r="B4" s="1078"/>
      <c r="C4" s="309" t="s">
        <v>33</v>
      </c>
      <c r="D4" s="1081"/>
      <c r="E4" s="307" t="s">
        <v>33</v>
      </c>
      <c r="F4" s="1081"/>
      <c r="G4" s="307" t="s">
        <v>139</v>
      </c>
      <c r="H4" s="1081"/>
      <c r="I4" s="1083"/>
      <c r="J4" s="163"/>
      <c r="K4" s="13" t="s">
        <v>140</v>
      </c>
      <c r="L4" s="13"/>
      <c r="M4" s="13" t="s">
        <v>167</v>
      </c>
      <c r="N4" s="1075"/>
      <c r="O4" s="1075"/>
      <c r="P4" s="154"/>
      <c r="Q4" s="154"/>
      <c r="R4" s="154"/>
      <c r="S4" s="154"/>
      <c r="T4" s="129"/>
      <c r="U4" s="129"/>
      <c r="V4" s="137"/>
      <c r="W4" s="137"/>
      <c r="X4" s="137"/>
    </row>
    <row r="5" spans="2:24" x14ac:dyDescent="0.25">
      <c r="B5" s="1078"/>
      <c r="C5" s="419">
        <v>0.6</v>
      </c>
      <c r="D5" s="401" t="s">
        <v>44</v>
      </c>
      <c r="E5" s="401">
        <v>0.3</v>
      </c>
      <c r="F5" s="401" t="s">
        <v>44</v>
      </c>
      <c r="G5" s="401"/>
      <c r="H5" s="401" t="s">
        <v>44</v>
      </c>
      <c r="I5" s="1083"/>
      <c r="J5" s="164"/>
      <c r="K5" s="13" t="s">
        <v>32</v>
      </c>
      <c r="L5" s="13"/>
      <c r="M5" s="120"/>
      <c r="N5" s="154"/>
      <c r="O5" s="154"/>
      <c r="P5" s="154"/>
      <c r="Q5" s="154"/>
      <c r="R5" s="154"/>
      <c r="S5" s="154"/>
      <c r="T5" s="129"/>
      <c r="U5" s="129"/>
      <c r="V5" s="137"/>
      <c r="W5" s="137"/>
      <c r="X5" s="137"/>
    </row>
    <row r="6" spans="2:24" ht="15.75" thickBot="1" x14ac:dyDescent="0.3">
      <c r="B6" s="1079"/>
      <c r="C6" s="485" t="s">
        <v>70</v>
      </c>
      <c r="D6" s="486" t="s">
        <v>94</v>
      </c>
      <c r="E6" s="486" t="s">
        <v>71</v>
      </c>
      <c r="F6" s="486" t="s">
        <v>95</v>
      </c>
      <c r="G6" s="486" t="s">
        <v>73</v>
      </c>
      <c r="H6" s="486" t="s">
        <v>97</v>
      </c>
      <c r="I6" s="488" t="s">
        <v>430</v>
      </c>
      <c r="J6" s="165"/>
      <c r="K6" s="121" t="s">
        <v>168</v>
      </c>
      <c r="L6" s="121"/>
      <c r="M6" s="121" t="s">
        <v>169</v>
      </c>
      <c r="N6" s="142"/>
      <c r="O6" s="142"/>
      <c r="P6" s="142"/>
      <c r="Q6" s="142"/>
      <c r="R6" s="142"/>
      <c r="S6" s="154"/>
      <c r="T6" s="142"/>
      <c r="U6" s="142"/>
      <c r="V6" s="137"/>
      <c r="W6" s="137"/>
      <c r="X6" s="137"/>
    </row>
    <row r="7" spans="2:24" ht="22.5" customHeight="1" x14ac:dyDescent="0.25">
      <c r="B7" s="132" t="s">
        <v>45</v>
      </c>
      <c r="C7" s="420">
        <f>FGP!F8</f>
        <v>1.8081744716121011</v>
      </c>
      <c r="D7" s="370">
        <f>Datos!$I$76*'Incentivo ISAN'!C7/100</f>
        <v>276896.90920605836</v>
      </c>
      <c r="E7" s="402">
        <f>FGP!L8</f>
        <v>1.5418220290179023</v>
      </c>
      <c r="F7" s="370">
        <f>Datos!$I$76*'Incentivo ISAN'!E7/100</f>
        <v>236108.71687633087</v>
      </c>
      <c r="G7" s="402">
        <f>FGP!R8</f>
        <v>0.45841074638537233</v>
      </c>
      <c r="H7" s="370">
        <f>Datos!$I$76*'Incentivo ISAN'!G7/100</f>
        <v>70199.264956873085</v>
      </c>
      <c r="I7" s="403">
        <f t="shared" ref="I7:I26" si="0">D7+F7+H7</f>
        <v>583204.89103926229</v>
      </c>
      <c r="J7" s="166"/>
      <c r="K7" s="167" t="e">
        <f>#REF!+#REF!+G7</f>
        <v>#REF!</v>
      </c>
      <c r="L7" s="144"/>
      <c r="M7" s="168" t="e">
        <f>[1]Datos!K$64*K7%*22.5%</f>
        <v>#REF!</v>
      </c>
      <c r="N7" s="169"/>
      <c r="O7" s="126"/>
      <c r="P7" s="144"/>
      <c r="Q7" s="102"/>
      <c r="R7" s="102"/>
      <c r="S7" s="102"/>
      <c r="T7" s="908"/>
      <c r="U7" s="907"/>
      <c r="V7" s="147"/>
      <c r="W7" s="137"/>
      <c r="X7" s="137"/>
    </row>
    <row r="8" spans="2:24" ht="22.5" customHeight="1" x14ac:dyDescent="0.25">
      <c r="B8" s="132" t="s">
        <v>46</v>
      </c>
      <c r="C8" s="420">
        <f>FGP!F9</f>
        <v>0.74756203377538344</v>
      </c>
      <c r="D8" s="370">
        <f>Datos!$I$76*'Incentivo ISAN'!C8/100</f>
        <v>114478.78500775828</v>
      </c>
      <c r="E8" s="402">
        <f>FGP!L9</f>
        <v>1.4097123623827539</v>
      </c>
      <c r="F8" s="370">
        <f>Datos!$I$76*'Incentivo ISAN'!E8/100</f>
        <v>215877.94880509417</v>
      </c>
      <c r="G8" s="402">
        <f>FGP!R9</f>
        <v>0.71185863002733818</v>
      </c>
      <c r="H8" s="370">
        <f>Datos!$I$76*'Incentivo ISAN'!G8/100</f>
        <v>109011.30258215165</v>
      </c>
      <c r="I8" s="403">
        <f t="shared" si="0"/>
        <v>439368.03639500414</v>
      </c>
      <c r="J8" s="143"/>
      <c r="K8" s="170" t="e">
        <f>#REF!+#REF!+G8</f>
        <v>#REF!</v>
      </c>
      <c r="L8" s="170"/>
      <c r="M8" s="168" t="e">
        <f>[1]Datos!K$64*K8%*22.5%</f>
        <v>#REF!</v>
      </c>
      <c r="N8" s="169"/>
      <c r="O8" s="126"/>
      <c r="P8" s="144"/>
      <c r="Q8" s="171"/>
      <c r="R8" s="102"/>
      <c r="S8" s="102"/>
      <c r="T8" s="908"/>
      <c r="U8" s="907"/>
      <c r="V8" s="147"/>
      <c r="W8" s="137"/>
      <c r="X8" s="137"/>
    </row>
    <row r="9" spans="2:24" ht="22.5" customHeight="1" x14ac:dyDescent="0.25">
      <c r="B9" s="132" t="s">
        <v>47</v>
      </c>
      <c r="C9" s="420">
        <f>FGP!F10</f>
        <v>0.56024658101947777</v>
      </c>
      <c r="D9" s="370">
        <f>Datos!$I$76*'Incentivo ISAN'!C9/100</f>
        <v>85794.014412362725</v>
      </c>
      <c r="E9" s="402">
        <f>FGP!L10</f>
        <v>1.6140341250735362</v>
      </c>
      <c r="F9" s="370">
        <f>Datos!$I$76*'Incentivo ISAN'!E9/100</f>
        <v>247167.00053148554</v>
      </c>
      <c r="G9" s="402">
        <f>FGP!R10</f>
        <v>0.70629077098405268</v>
      </c>
      <c r="H9" s="370">
        <f>Datos!$I$76*'Incentivo ISAN'!G9/100</f>
        <v>108158.66198569072</v>
      </c>
      <c r="I9" s="403">
        <f t="shared" si="0"/>
        <v>441119.67692953895</v>
      </c>
      <c r="J9" s="143"/>
      <c r="K9" s="170" t="e">
        <f>#REF!+#REF!+G9</f>
        <v>#REF!</v>
      </c>
      <c r="L9" s="170"/>
      <c r="M9" s="168" t="e">
        <f>[1]Datos!K$64*K9%*22.5%</f>
        <v>#REF!</v>
      </c>
      <c r="N9" s="169"/>
      <c r="O9" s="126"/>
      <c r="P9" s="144"/>
      <c r="Q9" s="102"/>
      <c r="R9" s="102"/>
      <c r="S9" s="102"/>
      <c r="T9" s="908"/>
      <c r="U9" s="907"/>
      <c r="V9" s="147"/>
      <c r="W9" s="137"/>
      <c r="X9" s="137"/>
    </row>
    <row r="10" spans="2:24" ht="22.5" customHeight="1" x14ac:dyDescent="0.25">
      <c r="B10" s="132" t="s">
        <v>48</v>
      </c>
      <c r="C10" s="420">
        <f>FGP!F11</f>
        <v>9.1123601326150006</v>
      </c>
      <c r="D10" s="370">
        <f>Datos!$I$76*'Incentivo ISAN'!C10/100</f>
        <v>1395431.909866543</v>
      </c>
      <c r="E10" s="402">
        <f>FGP!L11</f>
        <v>1.380349630276219</v>
      </c>
      <c r="F10" s="370">
        <f>Datos!$I$76*'Incentivo ISAN'!E10/100</f>
        <v>211381.45253562956</v>
      </c>
      <c r="G10" s="402">
        <f>FGP!R11</f>
        <v>0.1463563208117401</v>
      </c>
      <c r="H10" s="370">
        <f>Datos!$I$76*'Incentivo ISAN'!G10/100</f>
        <v>22412.446095099451</v>
      </c>
      <c r="I10" s="403">
        <f t="shared" si="0"/>
        <v>1629225.808497272</v>
      </c>
      <c r="J10" s="143"/>
      <c r="K10" s="170" t="e">
        <f>#REF!+#REF!+G10</f>
        <v>#REF!</v>
      </c>
      <c r="L10" s="170"/>
      <c r="M10" s="168" t="e">
        <f>[1]Datos!K$64*K10%*22.5%</f>
        <v>#REF!</v>
      </c>
      <c r="N10" s="169"/>
      <c r="O10" s="126"/>
      <c r="P10" s="144"/>
      <c r="Q10" s="102"/>
      <c r="R10" s="102"/>
      <c r="S10" s="102"/>
      <c r="T10" s="908"/>
      <c r="U10" s="907"/>
      <c r="V10" s="147"/>
      <c r="W10" s="137"/>
      <c r="X10" s="137"/>
    </row>
    <row r="11" spans="2:24" ht="22.5" customHeight="1" x14ac:dyDescent="0.25">
      <c r="B11" s="132" t="s">
        <v>49</v>
      </c>
      <c r="C11" s="420">
        <f>FGP!F12</f>
        <v>3.7606843141317858</v>
      </c>
      <c r="D11" s="370">
        <f>Datos!$I$76*'Incentivo ISAN'!C11/100</f>
        <v>575896.78398367891</v>
      </c>
      <c r="E11" s="402">
        <f>FGP!L12</f>
        <v>1.5551801826844094</v>
      </c>
      <c r="F11" s="370">
        <f>Datos!$I$76*'Incentivo ISAN'!E11/100</f>
        <v>238154.33333703538</v>
      </c>
      <c r="G11" s="402">
        <f>FGP!R12</f>
        <v>0.28888516574527795</v>
      </c>
      <c r="H11" s="370">
        <f>Datos!$I$76*'Incentivo ISAN'!G11/100</f>
        <v>44238.767202055438</v>
      </c>
      <c r="I11" s="403">
        <f t="shared" si="0"/>
        <v>858289.88452276972</v>
      </c>
      <c r="J11" s="143"/>
      <c r="K11" s="170" t="e">
        <f>#REF!+#REF!+G11</f>
        <v>#REF!</v>
      </c>
      <c r="L11" s="170"/>
      <c r="M11" s="168" t="e">
        <f>[1]Datos!K$64*K11%*22.5%</f>
        <v>#REF!</v>
      </c>
      <c r="N11" s="169"/>
      <c r="O11" s="126"/>
      <c r="P11" s="144"/>
      <c r="Q11" s="102"/>
      <c r="R11" s="102"/>
      <c r="S11" s="102"/>
      <c r="T11" s="908"/>
      <c r="U11" s="907"/>
      <c r="V11" s="147"/>
      <c r="W11" s="137"/>
      <c r="X11" s="137"/>
    </row>
    <row r="12" spans="2:24" ht="22.5" customHeight="1" x14ac:dyDescent="0.25">
      <c r="B12" s="132" t="s">
        <v>50</v>
      </c>
      <c r="C12" s="420">
        <f>FGP!F13</f>
        <v>2.3092688043928722</v>
      </c>
      <c r="D12" s="370">
        <f>Datos!$I$76*'Incentivo ISAN'!C12/100</f>
        <v>353632.57500934886</v>
      </c>
      <c r="E12" s="402">
        <f>FGP!L13</f>
        <v>0.86968479435261281</v>
      </c>
      <c r="F12" s="370">
        <f>Datos!$I$76*'Incentivo ISAN'!E12/100</f>
        <v>133180.19655760599</v>
      </c>
      <c r="G12" s="402">
        <f>FGP!R13</f>
        <v>0.48307543615868137</v>
      </c>
      <c r="H12" s="370">
        <f>Datos!$I$76*'Incentivo ISAN'!G12/100</f>
        <v>73976.321027500249</v>
      </c>
      <c r="I12" s="403">
        <f t="shared" si="0"/>
        <v>560789.09259445511</v>
      </c>
      <c r="J12" s="143"/>
      <c r="K12" s="170" t="e">
        <f>#REF!+#REF!+G12</f>
        <v>#REF!</v>
      </c>
      <c r="L12" s="170"/>
      <c r="M12" s="168" t="e">
        <f>[1]Datos!K$64*K12%*22.5%</f>
        <v>#REF!</v>
      </c>
      <c r="N12" s="169"/>
      <c r="O12" s="126"/>
      <c r="P12" s="144"/>
      <c r="Q12" s="102"/>
      <c r="R12" s="102"/>
      <c r="S12" s="102"/>
      <c r="T12" s="908"/>
      <c r="U12" s="907"/>
      <c r="V12" s="147"/>
      <c r="W12" s="137"/>
      <c r="X12" s="137"/>
    </row>
    <row r="13" spans="2:24" ht="22.5" customHeight="1" x14ac:dyDescent="0.25">
      <c r="B13" s="132" t="s">
        <v>51</v>
      </c>
      <c r="C13" s="420">
        <f>FGP!F14</f>
        <v>0.5939507355988396</v>
      </c>
      <c r="D13" s="370">
        <f>Datos!$I$76*'Incentivo ISAN'!C13/100</f>
        <v>90955.339481899791</v>
      </c>
      <c r="E13" s="402">
        <f>FGP!L14</f>
        <v>1.8465529671475758</v>
      </c>
      <c r="F13" s="370">
        <f>Datos!$I$76*'Incentivo ISAN'!E13/100</f>
        <v>282774.04493637139</v>
      </c>
      <c r="G13" s="402">
        <f>FGP!R14</f>
        <v>0.62924485404960351</v>
      </c>
      <c r="H13" s="370">
        <f>Datos!$I$76*'Incentivo ISAN'!G13/100</f>
        <v>96360.145525564352</v>
      </c>
      <c r="I13" s="403">
        <f t="shared" si="0"/>
        <v>470089.52994383557</v>
      </c>
      <c r="J13" s="143"/>
      <c r="K13" s="170" t="e">
        <f>#REF!+#REF!+G13</f>
        <v>#REF!</v>
      </c>
      <c r="L13" s="170"/>
      <c r="M13" s="168" t="e">
        <f>[1]Datos!K$64*K13%*22.5%</f>
        <v>#REF!</v>
      </c>
      <c r="N13" s="169"/>
      <c r="O13" s="126"/>
      <c r="P13" s="144"/>
      <c r="Q13" s="102"/>
      <c r="R13" s="102"/>
      <c r="S13" s="102"/>
      <c r="T13" s="908"/>
      <c r="U13" s="907"/>
      <c r="V13" s="147"/>
      <c r="W13" s="137"/>
      <c r="X13" s="137"/>
    </row>
    <row r="14" spans="2:24" ht="22.5" customHeight="1" x14ac:dyDescent="0.25">
      <c r="B14" s="132" t="s">
        <v>52</v>
      </c>
      <c r="C14" s="420">
        <f>FGP!F15</f>
        <v>1.4229078170327394</v>
      </c>
      <c r="D14" s="370">
        <f>Datos!$I$76*'Incentivo ISAN'!C14/100</f>
        <v>217898.65016191188</v>
      </c>
      <c r="E14" s="402">
        <f>FGP!L15</f>
        <v>1.4761524636434955</v>
      </c>
      <c r="F14" s="370">
        <f>Datos!$I$76*'Incentivo ISAN'!E14/100</f>
        <v>226052.33129708612</v>
      </c>
      <c r="G14" s="402">
        <f>FGP!R15</f>
        <v>0.52971454456406597</v>
      </c>
      <c r="H14" s="370">
        <f>Datos!$I$76*'Incentivo ISAN'!G14/100</f>
        <v>81118.455355977654</v>
      </c>
      <c r="I14" s="403">
        <f t="shared" si="0"/>
        <v>525069.43681497569</v>
      </c>
      <c r="J14" s="143"/>
      <c r="K14" s="170" t="e">
        <f>#REF!+#REF!+G14</f>
        <v>#REF!</v>
      </c>
      <c r="L14" s="170"/>
      <c r="M14" s="168" t="e">
        <f>[1]Datos!K$64*K14%*22.5%</f>
        <v>#REF!</v>
      </c>
      <c r="N14" s="169"/>
      <c r="O14" s="126"/>
      <c r="P14" s="144"/>
      <c r="Q14" s="102"/>
      <c r="R14" s="102"/>
      <c r="S14" s="102"/>
      <c r="T14" s="908"/>
      <c r="U14" s="907"/>
      <c r="V14" s="147"/>
      <c r="W14" s="137"/>
      <c r="X14" s="137"/>
    </row>
    <row r="15" spans="2:24" ht="22.5" customHeight="1" x14ac:dyDescent="0.25">
      <c r="B15" s="132" t="s">
        <v>53</v>
      </c>
      <c r="C15" s="420">
        <f>FGP!F16</f>
        <v>0.93832560609200155</v>
      </c>
      <c r="D15" s="370">
        <f>Datos!$I$76*'Incentivo ISAN'!C15/100</f>
        <v>143691.58741862516</v>
      </c>
      <c r="E15" s="402">
        <f>FGP!L16</f>
        <v>1.2018698920900244</v>
      </c>
      <c r="F15" s="370">
        <f>Datos!$I$76*'Incentivo ISAN'!E15/100</f>
        <v>184049.74940877236</v>
      </c>
      <c r="G15" s="402">
        <f>FGP!R16</f>
        <v>0.7175393077626101</v>
      </c>
      <c r="H15" s="370">
        <f>Datos!$I$76*'Incentivo ISAN'!G15/100</f>
        <v>109881.21980075394</v>
      </c>
      <c r="I15" s="403">
        <f t="shared" si="0"/>
        <v>437622.55662815145</v>
      </c>
      <c r="J15" s="143"/>
      <c r="K15" s="170" t="e">
        <f>#REF!+#REF!+G15</f>
        <v>#REF!</v>
      </c>
      <c r="L15" s="170"/>
      <c r="M15" s="168" t="e">
        <f>[1]Datos!K$64*K15%*22.5%</f>
        <v>#REF!</v>
      </c>
      <c r="N15" s="169"/>
      <c r="O15" s="126"/>
      <c r="P15" s="144"/>
      <c r="Q15" s="102"/>
      <c r="R15" s="102"/>
      <c r="S15" s="102"/>
      <c r="T15" s="908"/>
      <c r="U15" s="907"/>
      <c r="V15" s="147"/>
      <c r="W15" s="137"/>
      <c r="X15" s="137"/>
    </row>
    <row r="16" spans="2:24" ht="22.5" customHeight="1" x14ac:dyDescent="0.25">
      <c r="B16" s="132" t="s">
        <v>54</v>
      </c>
      <c r="C16" s="420">
        <f>FGP!F17</f>
        <v>0.66626411624533777</v>
      </c>
      <c r="D16" s="370">
        <f>Datos!$I$76*'Incentivo ISAN'!C16/100</f>
        <v>102029.13347115155</v>
      </c>
      <c r="E16" s="402">
        <f>FGP!L17</f>
        <v>1.758157667654723</v>
      </c>
      <c r="F16" s="370">
        <f>Datos!$I$76*'Incentivo ISAN'!E16/100</f>
        <v>269237.52752492239</v>
      </c>
      <c r="G16" s="402">
        <f>FGP!R17</f>
        <v>0.63341882441421271</v>
      </c>
      <c r="H16" s="370">
        <f>Datos!$I$76*'Incentivo ISAN'!G16/100</f>
        <v>96999.331351502668</v>
      </c>
      <c r="I16" s="403">
        <f t="shared" si="0"/>
        <v>468265.99234757666</v>
      </c>
      <c r="J16" s="143"/>
      <c r="K16" s="170" t="e">
        <f>#REF!+#REF!+G16</f>
        <v>#REF!</v>
      </c>
      <c r="L16" s="170"/>
      <c r="M16" s="168" t="e">
        <f>[1]Datos!K$64*K16%*22.5%</f>
        <v>#REF!</v>
      </c>
      <c r="N16" s="169"/>
      <c r="O16" s="126"/>
      <c r="P16" s="144"/>
      <c r="Q16" s="102"/>
      <c r="R16" s="102"/>
      <c r="S16" s="102"/>
      <c r="T16" s="908"/>
      <c r="U16" s="907"/>
      <c r="V16" s="147"/>
      <c r="W16" s="137"/>
      <c r="X16" s="137"/>
    </row>
    <row r="17" spans="2:24" ht="22.5" customHeight="1" x14ac:dyDescent="0.25">
      <c r="B17" s="132" t="s">
        <v>55</v>
      </c>
      <c r="C17" s="420">
        <f>FGP!F18</f>
        <v>1.6301835111893908</v>
      </c>
      <c r="D17" s="370">
        <f>Datos!$I$76*'Incentivo ISAN'!C17/100</f>
        <v>249640.05563278255</v>
      </c>
      <c r="E17" s="402">
        <f>FGP!L18</f>
        <v>1.3611659616240177</v>
      </c>
      <c r="F17" s="370">
        <f>Datos!$I$76*'Incentivo ISAN'!E17/100</f>
        <v>208443.73903484564</v>
      </c>
      <c r="G17" s="402">
        <f>FGP!R18</f>
        <v>0.51337177758701014</v>
      </c>
      <c r="H17" s="370">
        <f>Datos!$I$76*'Incentivo ISAN'!G17/100</f>
        <v>78615.786650680078</v>
      </c>
      <c r="I17" s="403">
        <f t="shared" si="0"/>
        <v>536699.58131830825</v>
      </c>
      <c r="J17" s="143"/>
      <c r="K17" s="170" t="e">
        <f>#REF!+#REF!+G17</f>
        <v>#REF!</v>
      </c>
      <c r="L17" s="170"/>
      <c r="M17" s="168" t="e">
        <f>[1]Datos!K$64*K17%*22.5%</f>
        <v>#REF!</v>
      </c>
      <c r="N17" s="169"/>
      <c r="O17" s="126"/>
      <c r="P17" s="144"/>
      <c r="Q17" s="102"/>
      <c r="R17" s="102"/>
      <c r="S17" s="102"/>
      <c r="T17" s="908"/>
      <c r="U17" s="907"/>
      <c r="V17" s="147"/>
      <c r="W17" s="137"/>
      <c r="X17" s="137"/>
    </row>
    <row r="18" spans="2:24" ht="22.5" customHeight="1" x14ac:dyDescent="0.25">
      <c r="B18" s="132" t="s">
        <v>56</v>
      </c>
      <c r="C18" s="420">
        <f>FGP!F19</f>
        <v>1.1702237878159967</v>
      </c>
      <c r="D18" s="370">
        <f>Datos!$I$76*'Incentivo ISAN'!C18/100</f>
        <v>179203.58627603087</v>
      </c>
      <c r="E18" s="402">
        <f>FGP!L19</f>
        <v>1.1149140718803174</v>
      </c>
      <c r="F18" s="370">
        <f>Datos!$I$76*'Incentivo ISAN'!E18/100</f>
        <v>170733.66833829985</v>
      </c>
      <c r="G18" s="402">
        <f>FGP!R19</f>
        <v>0.67202702442043061</v>
      </c>
      <c r="H18" s="370">
        <f>Datos!$I$76*'Incentivo ISAN'!G18/100</f>
        <v>102911.6431441804</v>
      </c>
      <c r="I18" s="403">
        <f t="shared" si="0"/>
        <v>452848.89775851113</v>
      </c>
      <c r="J18" s="143"/>
      <c r="K18" s="170" t="e">
        <f>#REF!+#REF!+G18</f>
        <v>#REF!</v>
      </c>
      <c r="L18" s="170"/>
      <c r="M18" s="168" t="e">
        <f>[1]Datos!K$64*K18%*22.5%</f>
        <v>#REF!</v>
      </c>
      <c r="N18" s="169"/>
      <c r="O18" s="126"/>
      <c r="P18" s="144"/>
      <c r="Q18" s="102"/>
      <c r="R18" s="102"/>
      <c r="S18" s="102"/>
      <c r="T18" s="908"/>
      <c r="U18" s="907"/>
      <c r="V18" s="147"/>
      <c r="W18" s="137"/>
      <c r="X18" s="137"/>
    </row>
    <row r="19" spans="2:24" ht="22.5" customHeight="1" x14ac:dyDescent="0.25">
      <c r="B19" s="132" t="s">
        <v>57</v>
      </c>
      <c r="C19" s="420">
        <f>FGP!F20</f>
        <v>2.0163243369249897</v>
      </c>
      <c r="D19" s="370">
        <f>Datos!$I$76*'Incentivo ISAN'!C19/100</f>
        <v>308772.18189775274</v>
      </c>
      <c r="E19" s="402">
        <f>FGP!L20</f>
        <v>1.8347349071707972</v>
      </c>
      <c r="F19" s="370">
        <f>Datos!$I$76*'Incentivo ISAN'!E19/100</f>
        <v>280964.2725212879</v>
      </c>
      <c r="G19" s="402">
        <f>FGP!R20</f>
        <v>0.39876675452256127</v>
      </c>
      <c r="H19" s="370">
        <f>Datos!$I$76*'Incentivo ISAN'!G19/100</f>
        <v>61065.612613690013</v>
      </c>
      <c r="I19" s="403">
        <f t="shared" si="0"/>
        <v>650802.06703273056</v>
      </c>
      <c r="J19" s="143"/>
      <c r="K19" s="170" t="e">
        <f>#REF!+#REF!+G19</f>
        <v>#REF!</v>
      </c>
      <c r="L19" s="170"/>
      <c r="M19" s="168" t="e">
        <f>[1]Datos!K$64*K19%*22.5%</f>
        <v>#REF!</v>
      </c>
      <c r="N19" s="169"/>
      <c r="O19" s="126"/>
      <c r="P19" s="144"/>
      <c r="Q19" s="102"/>
      <c r="R19" s="102"/>
      <c r="S19" s="102"/>
      <c r="T19" s="908"/>
      <c r="U19" s="907"/>
      <c r="V19" s="147"/>
      <c r="W19" s="137"/>
      <c r="X19" s="137"/>
    </row>
    <row r="20" spans="2:24" ht="22.5" customHeight="1" x14ac:dyDescent="0.25">
      <c r="B20" s="132" t="s">
        <v>58</v>
      </c>
      <c r="C20" s="420">
        <f>FGP!F21</f>
        <v>0.37312538852051391</v>
      </c>
      <c r="D20" s="370">
        <f>Datos!$I$76*'Incentivo ISAN'!C20/100</f>
        <v>57138.992088261337</v>
      </c>
      <c r="E20" s="402">
        <f>FGP!L21</f>
        <v>1.3127111310886792</v>
      </c>
      <c r="F20" s="370">
        <f>Datos!$I$76*'Incentivo ISAN'!E20/100</f>
        <v>201023.55197768821</v>
      </c>
      <c r="G20" s="402">
        <f>FGP!R21</f>
        <v>0.91092723308555534</v>
      </c>
      <c r="H20" s="370">
        <f>Datos!$I$76*'Incentivo ISAN'!G20/100</f>
        <v>139495.90557383295</v>
      </c>
      <c r="I20" s="403">
        <f t="shared" si="0"/>
        <v>397658.44963978254</v>
      </c>
      <c r="J20" s="143"/>
      <c r="K20" s="170" t="e">
        <f>#REF!+#REF!+G20</f>
        <v>#REF!</v>
      </c>
      <c r="L20" s="170"/>
      <c r="M20" s="168" t="e">
        <f>[1]Datos!K$64*K20%*22.5%</f>
        <v>#REF!</v>
      </c>
      <c r="N20" s="169"/>
      <c r="O20" s="126"/>
      <c r="P20" s="144"/>
      <c r="Q20" s="102"/>
      <c r="R20" s="102"/>
      <c r="S20" s="102"/>
      <c r="T20" s="908"/>
      <c r="U20" s="907"/>
      <c r="V20" s="147"/>
      <c r="W20" s="137"/>
      <c r="X20" s="137"/>
    </row>
    <row r="21" spans="2:24" ht="22.5" customHeight="1" x14ac:dyDescent="0.25">
      <c r="B21" s="132" t="s">
        <v>59</v>
      </c>
      <c r="C21" s="420">
        <f>FGP!F22</f>
        <v>1.2098043151678408</v>
      </c>
      <c r="D21" s="370">
        <f>Datos!$I$76*'Incentivo ISAN'!C21/100</f>
        <v>185264.79655221634</v>
      </c>
      <c r="E21" s="402">
        <f>FGP!L22</f>
        <v>1.4519044172033346</v>
      </c>
      <c r="F21" s="370">
        <f>Datos!$I$76*'Incentivo ISAN'!E21/100</f>
        <v>222339.07838981584</v>
      </c>
      <c r="G21" s="402">
        <f>FGP!R22</f>
        <v>0.57695057974060671</v>
      </c>
      <c r="H21" s="370">
        <f>Datos!$I$76*'Incentivo ISAN'!G21/100</f>
        <v>88352.000762617303</v>
      </c>
      <c r="I21" s="403">
        <f t="shared" si="0"/>
        <v>495955.87570464949</v>
      </c>
      <c r="J21" s="143"/>
      <c r="K21" s="170" t="e">
        <f>#REF!+#REF!+G21</f>
        <v>#REF!</v>
      </c>
      <c r="L21" s="170"/>
      <c r="M21" s="168" t="e">
        <f>[1]Datos!K$64*K21%*22.5%</f>
        <v>#REF!</v>
      </c>
      <c r="N21" s="169"/>
      <c r="O21" s="126"/>
      <c r="P21" s="144"/>
      <c r="Q21" s="102"/>
      <c r="R21" s="102"/>
      <c r="S21" s="102"/>
      <c r="T21" s="908"/>
      <c r="U21" s="907"/>
      <c r="V21" s="147"/>
      <c r="W21" s="137"/>
      <c r="X21" s="137"/>
    </row>
    <row r="22" spans="2:24" ht="22.5" customHeight="1" x14ac:dyDescent="0.25">
      <c r="B22" s="132" t="s">
        <v>60</v>
      </c>
      <c r="C22" s="420">
        <f>FGP!F23</f>
        <v>4.5641933019063412</v>
      </c>
      <c r="D22" s="370">
        <f>Datos!$I$76*'Incentivo ISAN'!C22/100</f>
        <v>698943.07112415577</v>
      </c>
      <c r="E22" s="402">
        <f>FGP!L23</f>
        <v>1.7690101523161208</v>
      </c>
      <c r="F22" s="370">
        <f>Datos!$I$76*'Incentivo ISAN'!E22/100</f>
        <v>270899.43543653452</v>
      </c>
      <c r="G22" s="402">
        <f>FGP!R23</f>
        <v>0.24247987725995498</v>
      </c>
      <c r="H22" s="370">
        <f>Datos!$I$76*'Incentivo ISAN'!G22/100</f>
        <v>37132.439160079877</v>
      </c>
      <c r="I22" s="403">
        <f t="shared" si="0"/>
        <v>1006974.9457207702</v>
      </c>
      <c r="J22" s="143"/>
      <c r="K22" s="170" t="e">
        <f>#REF!+#REF!+G22</f>
        <v>#REF!</v>
      </c>
      <c r="L22" s="170"/>
      <c r="M22" s="168" t="e">
        <f>[1]Datos!K$64*K22%*22.5%</f>
        <v>#REF!</v>
      </c>
      <c r="N22" s="169"/>
      <c r="O22" s="126"/>
      <c r="P22" s="144"/>
      <c r="Q22" s="102"/>
      <c r="R22" s="102"/>
      <c r="S22" s="102"/>
      <c r="T22" s="908"/>
      <c r="U22" s="907"/>
      <c r="V22" s="147"/>
      <c r="W22" s="137"/>
      <c r="X22" s="137"/>
    </row>
    <row r="23" spans="2:24" ht="22.5" customHeight="1" x14ac:dyDescent="0.25">
      <c r="B23" s="132" t="s">
        <v>61</v>
      </c>
      <c r="C23" s="420">
        <f>FGP!F24</f>
        <v>1.8034636603812679</v>
      </c>
      <c r="D23" s="370">
        <f>Datos!$I$76*'Incentivo ISAN'!C23/100</f>
        <v>276175.51362717489</v>
      </c>
      <c r="E23" s="402">
        <f>FGP!L24</f>
        <v>2.293474854761965</v>
      </c>
      <c r="F23" s="370">
        <f>Datos!$I$76*'Incentivo ISAN'!E23/100</f>
        <v>351213.95008923515</v>
      </c>
      <c r="G23" s="402">
        <f>FGP!R24</f>
        <v>0.37483462116064892</v>
      </c>
      <c r="H23" s="370">
        <f>Datos!$I$76*'Incentivo ISAN'!G23/100</f>
        <v>57400.737424564839</v>
      </c>
      <c r="I23" s="403">
        <f t="shared" si="0"/>
        <v>684790.20114097488</v>
      </c>
      <c r="J23" s="143"/>
      <c r="K23" s="170" t="e">
        <f>#REF!+#REF!+G23</f>
        <v>#REF!</v>
      </c>
      <c r="L23" s="170"/>
      <c r="M23" s="168" t="e">
        <f>[1]Datos!K$64*K23%*22.5%</f>
        <v>#REF!</v>
      </c>
      <c r="N23" s="169"/>
      <c r="O23" s="126"/>
      <c r="P23" s="144"/>
      <c r="Q23" s="102"/>
      <c r="R23" s="102"/>
      <c r="S23" s="102"/>
      <c r="T23" s="908"/>
      <c r="U23" s="907"/>
      <c r="V23" s="147"/>
      <c r="W23" s="137"/>
      <c r="X23" s="137"/>
    </row>
    <row r="24" spans="2:24" ht="22.5" customHeight="1" x14ac:dyDescent="0.25">
      <c r="B24" s="132" t="s">
        <v>62</v>
      </c>
      <c r="C24" s="420">
        <f>FGP!F25</f>
        <v>20.685026419394944</v>
      </c>
      <c r="D24" s="370">
        <f>Datos!$I$76*'Incentivo ISAN'!C24/100</f>
        <v>3167625.6756736464</v>
      </c>
      <c r="E24" s="402">
        <f>FGP!L25</f>
        <v>1.767737742095272</v>
      </c>
      <c r="F24" s="370">
        <f>Datos!$I$76*'Incentivo ISAN'!E24/100</f>
        <v>270704.58341150783</v>
      </c>
      <c r="G24" s="402">
        <f>FGP!R25</f>
        <v>6.8395783485584907E-2</v>
      </c>
      <c r="H24" s="370">
        <f>Datos!$I$76*'Incentivo ISAN'!G24/100</f>
        <v>10473.86817324121</v>
      </c>
      <c r="I24" s="403">
        <f t="shared" si="0"/>
        <v>3448804.1272583953</v>
      </c>
      <c r="J24" s="143"/>
      <c r="K24" s="170" t="e">
        <f>#REF!+#REF!+G24</f>
        <v>#REF!</v>
      </c>
      <c r="L24" s="170"/>
      <c r="M24" s="168" t="e">
        <f>[1]Datos!K$64*K24%*22.5%</f>
        <v>#REF!</v>
      </c>
      <c r="N24" s="169"/>
      <c r="O24" s="126"/>
      <c r="P24" s="144"/>
      <c r="Q24" s="102"/>
      <c r="R24" s="102"/>
      <c r="S24" s="102"/>
      <c r="T24" s="908"/>
      <c r="U24" s="907"/>
      <c r="V24" s="147"/>
      <c r="W24" s="137"/>
      <c r="X24" s="137"/>
    </row>
    <row r="25" spans="2:24" ht="22.5" customHeight="1" x14ac:dyDescent="0.25">
      <c r="B25" s="132" t="s">
        <v>63</v>
      </c>
      <c r="C25" s="420">
        <f>FGP!F26</f>
        <v>1.4600600911728139</v>
      </c>
      <c r="D25" s="370">
        <f>Datos!$I$76*'Incentivo ISAN'!C25/100</f>
        <v>223588.00704692033</v>
      </c>
      <c r="E25" s="402">
        <f>FGP!L26</f>
        <v>1.1192141137275298</v>
      </c>
      <c r="F25" s="370">
        <f>Datos!$I$76*'Incentivo ISAN'!E25/100</f>
        <v>171392.16026794657</v>
      </c>
      <c r="G25" s="402">
        <f>FGP!R26</f>
        <v>0.59539012692972659</v>
      </c>
      <c r="H25" s="370">
        <f>Datos!$I$76*'Incentivo ISAN'!G25/100</f>
        <v>91175.762354204417</v>
      </c>
      <c r="I25" s="403">
        <f t="shared" si="0"/>
        <v>486155.92966907134</v>
      </c>
      <c r="J25" s="143"/>
      <c r="K25" s="170" t="e">
        <f>#REF!+#REF!+G25</f>
        <v>#REF!</v>
      </c>
      <c r="L25" s="170"/>
      <c r="M25" s="168" t="e">
        <f>[1]Datos!K$64*K25%*22.5%</f>
        <v>#REF!</v>
      </c>
      <c r="N25" s="169"/>
      <c r="O25" s="126"/>
      <c r="P25" s="144"/>
      <c r="Q25" s="102"/>
      <c r="R25" s="102"/>
      <c r="S25" s="102"/>
      <c r="T25" s="908"/>
      <c r="U25" s="907"/>
      <c r="V25" s="147"/>
      <c r="W25" s="137"/>
      <c r="X25" s="137"/>
    </row>
    <row r="26" spans="2:24" ht="22.5" customHeight="1" thickBot="1" x14ac:dyDescent="0.3">
      <c r="B26" s="132" t="s">
        <v>64</v>
      </c>
      <c r="C26" s="420">
        <f>FGP!F27</f>
        <v>3.1678505750103603</v>
      </c>
      <c r="D26" s="370">
        <f>Datos!$I$76*'Incentivo ISAN'!C26/100</f>
        <v>485112.49706172047</v>
      </c>
      <c r="E26" s="402">
        <f>FGP!L27</f>
        <v>1.3216165338087105</v>
      </c>
      <c r="F26" s="370">
        <f>Datos!$I$76*'Incentivo ISAN'!E26/100</f>
        <v>202387.29122250422</v>
      </c>
      <c r="G26" s="402">
        <f>FGP!R27</f>
        <v>0.3420616209049665</v>
      </c>
      <c r="H26" s="370">
        <f>Datos!$I$76*'Incentivo ISAN'!G26/100</f>
        <v>52382.005759739855</v>
      </c>
      <c r="I26" s="403">
        <f t="shared" si="0"/>
        <v>739881.79404396459</v>
      </c>
      <c r="J26" s="166"/>
      <c r="K26" s="144" t="e">
        <f>#REF!+#REF!+G26</f>
        <v>#REF!</v>
      </c>
      <c r="L26" s="144"/>
      <c r="M26" s="168" t="e">
        <f>[1]Datos!K$64*K26%*22.5%</f>
        <v>#REF!</v>
      </c>
      <c r="N26" s="169"/>
      <c r="O26" s="126"/>
      <c r="P26" s="144"/>
      <c r="Q26" s="102"/>
      <c r="R26" s="102"/>
      <c r="S26" s="102"/>
      <c r="T26" s="908"/>
      <c r="U26" s="907"/>
      <c r="V26" s="147"/>
      <c r="W26" s="137"/>
      <c r="X26" s="137"/>
    </row>
    <row r="27" spans="2:24" ht="15.75" thickBot="1" x14ac:dyDescent="0.3">
      <c r="B27" s="418" t="s">
        <v>65</v>
      </c>
      <c r="C27" s="421">
        <f t="shared" ref="C27:I27" si="1">SUM(C7:C26)</f>
        <v>59.999999999999993</v>
      </c>
      <c r="D27" s="906">
        <f t="shared" si="1"/>
        <v>9188170.0650000013</v>
      </c>
      <c r="E27" s="178">
        <f t="shared" si="1"/>
        <v>30</v>
      </c>
      <c r="F27" s="53">
        <f t="shared" si="1"/>
        <v>4594085.0324999997</v>
      </c>
      <c r="G27" s="179">
        <f t="shared" si="1"/>
        <v>10</v>
      </c>
      <c r="H27" s="53">
        <f t="shared" si="1"/>
        <v>1531361.6775000002</v>
      </c>
      <c r="I27" s="172">
        <f t="shared" si="1"/>
        <v>15313616.775</v>
      </c>
      <c r="J27" s="173"/>
      <c r="K27" s="174" t="e">
        <f>#REF!+#REF!+G27</f>
        <v>#REF!</v>
      </c>
      <c r="L27" s="174"/>
      <c r="M27" s="175" t="e">
        <f>SUM(M7:M26)</f>
        <v>#REF!</v>
      </c>
      <c r="N27" s="176"/>
      <c r="O27" s="177"/>
      <c r="P27" s="149"/>
      <c r="Q27" s="148"/>
      <c r="R27" s="148"/>
      <c r="S27" s="148"/>
      <c r="T27" s="907"/>
      <c r="U27" s="907"/>
      <c r="V27" s="147"/>
      <c r="W27" s="137"/>
      <c r="X27" s="137"/>
    </row>
    <row r="28" spans="2:24" x14ac:dyDescent="0.25">
      <c r="B28" s="1045" t="s">
        <v>287</v>
      </c>
      <c r="C28" s="1045"/>
      <c r="D28" s="1045"/>
      <c r="E28" s="1045"/>
      <c r="F28" s="1045"/>
      <c r="G28" s="8"/>
      <c r="H28" s="8"/>
      <c r="I28" s="8"/>
      <c r="J28" s="8"/>
      <c r="K28" s="150"/>
      <c r="L28" s="150"/>
      <c r="M28" s="135"/>
      <c r="N28" s="135"/>
      <c r="O28" s="144"/>
      <c r="P28" s="136"/>
      <c r="Q28" s="136"/>
      <c r="R28" s="137"/>
      <c r="S28" s="137"/>
      <c r="T28" s="137"/>
      <c r="U28" s="137"/>
      <c r="V28" s="137"/>
      <c r="W28" s="137"/>
      <c r="X28" s="137"/>
    </row>
    <row r="29" spans="2:24" ht="24.75" customHeight="1" x14ac:dyDescent="0.25">
      <c r="B29" s="1073"/>
      <c r="C29" s="1074"/>
      <c r="D29" s="1074"/>
      <c r="E29" s="1074"/>
      <c r="F29" s="1074"/>
      <c r="G29" s="1074"/>
      <c r="H29" s="1074"/>
      <c r="I29" s="1074"/>
      <c r="J29" s="8"/>
      <c r="K29" s="8"/>
      <c r="L29" s="8"/>
      <c r="M29" s="151"/>
      <c r="N29" s="8"/>
      <c r="O29" s="8"/>
      <c r="P29" s="57"/>
      <c r="Q29" s="57"/>
    </row>
  </sheetData>
  <mergeCells count="9">
    <mergeCell ref="B28:F28"/>
    <mergeCell ref="B29:I29"/>
    <mergeCell ref="N3:O4"/>
    <mergeCell ref="B1:K1"/>
    <mergeCell ref="B3:B6"/>
    <mergeCell ref="D3:D4"/>
    <mergeCell ref="F3:F4"/>
    <mergeCell ref="H3:H4"/>
    <mergeCell ref="I3:I5"/>
  </mergeCells>
  <printOptions horizontalCentered="1"/>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S29"/>
  <sheetViews>
    <sheetView workbookViewId="0">
      <selection activeCell="B1" sqref="B1:I1"/>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9" width="15.5703125" customWidth="1"/>
    <col min="10" max="10" width="14.85546875" customWidth="1"/>
    <col min="11" max="12" width="15.42578125" style="9" customWidth="1"/>
    <col min="13" max="13" width="15.85546875" customWidth="1"/>
    <col min="14" max="14" width="14.7109375" customWidth="1"/>
    <col min="15" max="15" width="15.140625" customWidth="1"/>
  </cols>
  <sheetData>
    <row r="1" spans="2:19" x14ac:dyDescent="0.25">
      <c r="B1" s="1018" t="s">
        <v>445</v>
      </c>
      <c r="C1" s="1018"/>
      <c r="D1" s="1018"/>
      <c r="E1" s="1018"/>
      <c r="F1" s="1018"/>
      <c r="G1" s="1018"/>
      <c r="H1" s="1018"/>
      <c r="I1" s="1018"/>
      <c r="J1" s="8"/>
      <c r="M1" s="153"/>
    </row>
    <row r="2" spans="2:19" ht="15.75" thickBot="1" x14ac:dyDescent="0.3">
      <c r="J2" s="154"/>
      <c r="K2" s="154"/>
      <c r="L2" s="154"/>
      <c r="M2" s="154"/>
    </row>
    <row r="3" spans="2:19" ht="15" customHeight="1" x14ac:dyDescent="0.25">
      <c r="B3" s="1077" t="s">
        <v>227</v>
      </c>
      <c r="C3" s="308" t="s">
        <v>136</v>
      </c>
      <c r="D3" s="1080" t="s">
        <v>231</v>
      </c>
      <c r="E3" s="400" t="s">
        <v>137</v>
      </c>
      <c r="F3" s="1080" t="s">
        <v>232</v>
      </c>
      <c r="G3" s="400" t="s">
        <v>29</v>
      </c>
      <c r="H3" s="1080" t="s">
        <v>233</v>
      </c>
      <c r="I3" s="1082" t="s">
        <v>234</v>
      </c>
      <c r="J3" s="1075"/>
      <c r="K3" s="154"/>
      <c r="L3" s="154"/>
      <c r="M3" s="154"/>
      <c r="N3" s="154"/>
      <c r="O3" s="129"/>
      <c r="P3" s="129"/>
      <c r="Q3" s="137"/>
      <c r="R3" s="137"/>
      <c r="S3" s="137"/>
    </row>
    <row r="4" spans="2:19" x14ac:dyDescent="0.25">
      <c r="B4" s="1078"/>
      <c r="C4" s="309" t="s">
        <v>33</v>
      </c>
      <c r="D4" s="1081"/>
      <c r="E4" s="307" t="s">
        <v>33</v>
      </c>
      <c r="F4" s="1081"/>
      <c r="G4" s="307" t="s">
        <v>139</v>
      </c>
      <c r="H4" s="1081"/>
      <c r="I4" s="1083"/>
      <c r="J4" s="1075"/>
      <c r="K4" s="154"/>
      <c r="L4" s="154"/>
      <c r="M4" s="154"/>
      <c r="N4" s="154"/>
      <c r="O4" s="129"/>
      <c r="P4" s="129"/>
      <c r="Q4" s="137"/>
      <c r="R4" s="137"/>
      <c r="S4" s="137"/>
    </row>
    <row r="5" spans="2:19" x14ac:dyDescent="0.25">
      <c r="B5" s="1078"/>
      <c r="C5" s="419">
        <v>0.6</v>
      </c>
      <c r="D5" s="401" t="s">
        <v>44</v>
      </c>
      <c r="E5" s="401">
        <v>0.3</v>
      </c>
      <c r="F5" s="401" t="s">
        <v>44</v>
      </c>
      <c r="G5" s="401"/>
      <c r="H5" s="401" t="s">
        <v>44</v>
      </c>
      <c r="I5" s="1083"/>
      <c r="J5" s="154"/>
      <c r="K5" s="154"/>
      <c r="L5" s="154"/>
      <c r="M5" s="154"/>
      <c r="N5" s="154"/>
      <c r="O5" s="129"/>
      <c r="P5" s="129"/>
      <c r="Q5" s="137"/>
      <c r="R5" s="137"/>
      <c r="S5" s="137"/>
    </row>
    <row r="6" spans="2:19" ht="15.75" thickBot="1" x14ac:dyDescent="0.3">
      <c r="B6" s="1079"/>
      <c r="C6" s="485" t="s">
        <v>70</v>
      </c>
      <c r="D6" s="486" t="s">
        <v>94</v>
      </c>
      <c r="E6" s="486" t="s">
        <v>71</v>
      </c>
      <c r="F6" s="486" t="s">
        <v>95</v>
      </c>
      <c r="G6" s="486" t="s">
        <v>73</v>
      </c>
      <c r="H6" s="486" t="s">
        <v>97</v>
      </c>
      <c r="I6" s="487" t="s">
        <v>430</v>
      </c>
      <c r="J6" s="142"/>
      <c r="K6" s="142"/>
      <c r="L6" s="142"/>
      <c r="M6" s="142"/>
      <c r="N6" s="154"/>
      <c r="O6" s="142"/>
      <c r="P6" s="142"/>
      <c r="Q6" s="137"/>
      <c r="R6" s="137"/>
      <c r="S6" s="137"/>
    </row>
    <row r="7" spans="2:19" ht="22.5" customHeight="1" x14ac:dyDescent="0.25">
      <c r="B7" s="132" t="s">
        <v>45</v>
      </c>
      <c r="C7" s="420">
        <f>FGP!F8</f>
        <v>1.8081744716121011</v>
      </c>
      <c r="D7" s="370">
        <f>Datos!$I$85*'FOCO ISAN'!C7/100</f>
        <v>53822.441368887274</v>
      </c>
      <c r="E7" s="402">
        <f>FGP!L8</f>
        <v>1.5418220290179023</v>
      </c>
      <c r="F7" s="370">
        <f>Datos!$I$85*'FOCO ISAN'!E7/100</f>
        <v>45894.147418246015</v>
      </c>
      <c r="G7" s="402">
        <f>FGP!R8</f>
        <v>0.45841074638537233</v>
      </c>
      <c r="H7" s="370">
        <f>Datos!$I$85*'FOCO ISAN'!G7/100</f>
        <v>13645.135415609104</v>
      </c>
      <c r="I7" s="403">
        <f t="shared" ref="I7:I26" si="0">D7+F7+H7</f>
        <v>113361.72420274239</v>
      </c>
      <c r="J7" s="126"/>
      <c r="K7" s="144"/>
      <c r="L7" s="102"/>
      <c r="M7" s="102"/>
      <c r="N7" s="144"/>
      <c r="O7" s="145"/>
      <c r="P7" s="146"/>
      <c r="Q7" s="147"/>
      <c r="R7" s="137"/>
      <c r="S7" s="137"/>
    </row>
    <row r="8" spans="2:19" ht="22.5" customHeight="1" x14ac:dyDescent="0.25">
      <c r="B8" s="132" t="s">
        <v>46</v>
      </c>
      <c r="C8" s="420">
        <f>FGP!F9</f>
        <v>0.74756203377538344</v>
      </c>
      <c r="D8" s="370">
        <f>Datos!$I$85*'FOCO ISAN'!C8/100</f>
        <v>22252.063815838043</v>
      </c>
      <c r="E8" s="402">
        <f>FGP!L9</f>
        <v>1.4097123623827539</v>
      </c>
      <c r="F8" s="370">
        <f>Datos!$I$85*'FOCO ISAN'!E8/100</f>
        <v>41961.747697773193</v>
      </c>
      <c r="G8" s="402">
        <f>FGP!R9</f>
        <v>0.71185863002733818</v>
      </c>
      <c r="H8" s="370">
        <f>Datos!$I$85*'FOCO ISAN'!G8/100</f>
        <v>21189.309980371265</v>
      </c>
      <c r="I8" s="403">
        <f t="shared" si="0"/>
        <v>85403.1214939825</v>
      </c>
      <c r="J8" s="126"/>
      <c r="K8" s="144"/>
      <c r="L8" s="171"/>
      <c r="M8" s="102"/>
      <c r="N8" s="144"/>
      <c r="O8" s="145"/>
      <c r="P8" s="146"/>
      <c r="Q8" s="147"/>
      <c r="R8" s="137"/>
      <c r="S8" s="137"/>
    </row>
    <row r="9" spans="2:19" ht="22.5" customHeight="1" x14ac:dyDescent="0.25">
      <c r="B9" s="132" t="s">
        <v>47</v>
      </c>
      <c r="C9" s="420">
        <f>FGP!F10</f>
        <v>0.56024658101947777</v>
      </c>
      <c r="D9" s="370">
        <f>Datos!$I$85*'FOCO ISAN'!C9/100</f>
        <v>16676.398894270616</v>
      </c>
      <c r="E9" s="402">
        <f>FGP!L10</f>
        <v>1.6140341250735362</v>
      </c>
      <c r="F9" s="370">
        <f>Datos!$I$85*'FOCO ISAN'!E9/100</f>
        <v>48043.625450979016</v>
      </c>
      <c r="G9" s="402">
        <f>FGP!R10</f>
        <v>0.70629077098405268</v>
      </c>
      <c r="H9" s="370">
        <f>Datos!$I$85*'FOCO ISAN'!G9/100</f>
        <v>21023.576102577779</v>
      </c>
      <c r="I9" s="403">
        <f t="shared" si="0"/>
        <v>85743.600447827412</v>
      </c>
      <c r="J9" s="126"/>
      <c r="K9" s="144"/>
      <c r="L9" s="102"/>
      <c r="M9" s="102"/>
      <c r="N9" s="144"/>
      <c r="O9" s="145"/>
      <c r="P9" s="146"/>
      <c r="Q9" s="147"/>
      <c r="R9" s="137"/>
      <c r="S9" s="137"/>
    </row>
    <row r="10" spans="2:19" ht="22.5" customHeight="1" x14ac:dyDescent="0.25">
      <c r="B10" s="132" t="s">
        <v>48</v>
      </c>
      <c r="C10" s="420">
        <f>FGP!F11</f>
        <v>9.1123601326150006</v>
      </c>
      <c r="D10" s="370">
        <f>Datos!$I$85*'FOCO ISAN'!C10/100</f>
        <v>271240.12459516159</v>
      </c>
      <c r="E10" s="402">
        <f>FGP!L11</f>
        <v>1.380349630276219</v>
      </c>
      <c r="F10" s="370">
        <f>Datos!$I$85*'FOCO ISAN'!E10/100</f>
        <v>41087.731416686496</v>
      </c>
      <c r="G10" s="402">
        <f>FGP!R11</f>
        <v>0.1463563208117401</v>
      </c>
      <c r="H10" s="370">
        <f>Datos!$I$85*'FOCO ISAN'!G10/100</f>
        <v>4356.4681503510401</v>
      </c>
      <c r="I10" s="403">
        <f t="shared" si="0"/>
        <v>316684.3241621991</v>
      </c>
      <c r="J10" s="126"/>
      <c r="K10" s="144"/>
      <c r="L10" s="102"/>
      <c r="M10" s="102"/>
      <c r="N10" s="144"/>
      <c r="O10" s="145"/>
      <c r="P10" s="146"/>
      <c r="Q10" s="147"/>
      <c r="R10" s="137"/>
      <c r="S10" s="137"/>
    </row>
    <row r="11" spans="2:19" ht="22.5" customHeight="1" x14ac:dyDescent="0.25">
      <c r="B11" s="132" t="s">
        <v>49</v>
      </c>
      <c r="C11" s="420">
        <f>FGP!F12</f>
        <v>3.7606843141317858</v>
      </c>
      <c r="D11" s="370">
        <f>Datos!$I$85*'FOCO ISAN'!C11/100</f>
        <v>111941.19493557034</v>
      </c>
      <c r="E11" s="402">
        <f>FGP!L12</f>
        <v>1.5551801826844094</v>
      </c>
      <c r="F11" s="370">
        <f>Datos!$I$85*'FOCO ISAN'!E11/100</f>
        <v>46291.768584676465</v>
      </c>
      <c r="G11" s="402">
        <f>FGP!R12</f>
        <v>0.28888516574527795</v>
      </c>
      <c r="H11" s="370">
        <f>Datos!$I$85*'FOCO ISAN'!G11/100</f>
        <v>8599.0069762482817</v>
      </c>
      <c r="I11" s="403">
        <f t="shared" si="0"/>
        <v>166831.97049649508</v>
      </c>
      <c r="J11" s="126"/>
      <c r="K11" s="144"/>
      <c r="L11" s="102"/>
      <c r="M11" s="102"/>
      <c r="N11" s="144"/>
      <c r="O11" s="145"/>
      <c r="P11" s="146"/>
      <c r="Q11" s="147"/>
      <c r="R11" s="137"/>
      <c r="S11" s="137"/>
    </row>
    <row r="12" spans="2:19" ht="22.5" customHeight="1" x14ac:dyDescent="0.25">
      <c r="B12" s="132" t="s">
        <v>50</v>
      </c>
      <c r="C12" s="420">
        <f>FGP!F13</f>
        <v>2.3092688043928722</v>
      </c>
      <c r="D12" s="370">
        <f>Datos!$I$85*'FOCO ISAN'!C12/100</f>
        <v>68738.103972136611</v>
      </c>
      <c r="E12" s="402">
        <f>FGP!L13</f>
        <v>0.86968479435261281</v>
      </c>
      <c r="F12" s="370">
        <f>Datos!$I$85*'FOCO ISAN'!E12/100</f>
        <v>25887.191522908477</v>
      </c>
      <c r="G12" s="402">
        <f>FGP!R13</f>
        <v>0.48307543615868137</v>
      </c>
      <c r="H12" s="370">
        <f>Datos!$I$85*'FOCO ISAN'!G12/100</f>
        <v>14379.30893705151</v>
      </c>
      <c r="I12" s="403">
        <f t="shared" si="0"/>
        <v>109004.60443209659</v>
      </c>
      <c r="J12" s="126"/>
      <c r="K12" s="144"/>
      <c r="L12" s="102"/>
      <c r="M12" s="102"/>
      <c r="N12" s="144"/>
      <c r="O12" s="145"/>
      <c r="P12" s="146"/>
      <c r="Q12" s="147"/>
      <c r="R12" s="137"/>
      <c r="S12" s="137"/>
    </row>
    <row r="13" spans="2:19" ht="22.5" customHeight="1" x14ac:dyDescent="0.25">
      <c r="B13" s="132" t="s">
        <v>51</v>
      </c>
      <c r="C13" s="420">
        <f>FGP!F14</f>
        <v>0.5939507355988396</v>
      </c>
      <c r="D13" s="370">
        <f>Datos!$I$85*'FOCO ISAN'!C13/100</f>
        <v>17679.642725115264</v>
      </c>
      <c r="E13" s="402">
        <f>FGP!L14</f>
        <v>1.8465529671475758</v>
      </c>
      <c r="F13" s="370">
        <f>Datos!$I$85*'FOCO ISAN'!E13/100</f>
        <v>54964.822459989926</v>
      </c>
      <c r="G13" s="402">
        <f>FGP!R14</f>
        <v>0.62924485404960351</v>
      </c>
      <c r="H13" s="370">
        <f>Datos!$I$85*'FOCO ISAN'!G13/100</f>
        <v>18730.213701979668</v>
      </c>
      <c r="I13" s="403">
        <f t="shared" si="0"/>
        <v>91374.678887084854</v>
      </c>
      <c r="J13" s="126"/>
      <c r="K13" s="144"/>
      <c r="L13" s="102"/>
      <c r="M13" s="102"/>
      <c r="N13" s="144"/>
      <c r="O13" s="145"/>
      <c r="P13" s="146"/>
      <c r="Q13" s="147"/>
      <c r="R13" s="137"/>
      <c r="S13" s="137"/>
    </row>
    <row r="14" spans="2:19" ht="22.5" customHeight="1" x14ac:dyDescent="0.25">
      <c r="B14" s="132" t="s">
        <v>52</v>
      </c>
      <c r="C14" s="420">
        <f>FGP!F15</f>
        <v>1.4229078170327394</v>
      </c>
      <c r="D14" s="370">
        <f>Datos!$I$85*'FOCO ISAN'!C14/100</f>
        <v>42354.525936480139</v>
      </c>
      <c r="E14" s="402">
        <f>FGP!L15</f>
        <v>1.4761524636434955</v>
      </c>
      <c r="F14" s="370">
        <f>Datos!$I$85*'FOCO ISAN'!E14/100</f>
        <v>43939.415511798354</v>
      </c>
      <c r="G14" s="402">
        <f>FGP!R15</f>
        <v>0.52971454456406597</v>
      </c>
      <c r="H14" s="370">
        <f>Datos!$I$85*'FOCO ISAN'!G14/100</f>
        <v>15767.576892968376</v>
      </c>
      <c r="I14" s="403">
        <f t="shared" si="0"/>
        <v>102061.51834124688</v>
      </c>
      <c r="J14" s="126"/>
      <c r="K14" s="144"/>
      <c r="L14" s="102"/>
      <c r="M14" s="102"/>
      <c r="N14" s="144"/>
      <c r="O14" s="145"/>
      <c r="P14" s="146"/>
      <c r="Q14" s="147"/>
      <c r="R14" s="137"/>
      <c r="S14" s="137"/>
    </row>
    <row r="15" spans="2:19" ht="22.5" customHeight="1" x14ac:dyDescent="0.25">
      <c r="B15" s="132" t="s">
        <v>53</v>
      </c>
      <c r="C15" s="420">
        <f>FGP!F16</f>
        <v>0.93832560609200155</v>
      </c>
      <c r="D15" s="370">
        <f>Datos!$I$85*'FOCO ISAN'!C15/100</f>
        <v>27930.366074566798</v>
      </c>
      <c r="E15" s="402">
        <f>FGP!L16</f>
        <v>1.2018698920900244</v>
      </c>
      <c r="F15" s="370">
        <f>Datos!$I$85*'FOCO ISAN'!E15/100</f>
        <v>35775.071938922571</v>
      </c>
      <c r="G15" s="402">
        <f>FGP!R16</f>
        <v>0.7175393077626101</v>
      </c>
      <c r="H15" s="370">
        <f>Datos!$I$85*'FOCO ISAN'!G15/100</f>
        <v>21358.402039319328</v>
      </c>
      <c r="I15" s="403">
        <f t="shared" si="0"/>
        <v>85063.840052808693</v>
      </c>
      <c r="J15" s="126"/>
      <c r="K15" s="144"/>
      <c r="L15" s="102"/>
      <c r="M15" s="102"/>
      <c r="N15" s="144"/>
      <c r="O15" s="145"/>
      <c r="P15" s="146"/>
      <c r="Q15" s="147"/>
      <c r="R15" s="137"/>
      <c r="S15" s="137"/>
    </row>
    <row r="16" spans="2:19" ht="22.5" customHeight="1" x14ac:dyDescent="0.25">
      <c r="B16" s="132" t="s">
        <v>54</v>
      </c>
      <c r="C16" s="420">
        <f>FGP!F17</f>
        <v>0.66626411624533777</v>
      </c>
      <c r="D16" s="370">
        <f>Datos!$I$85*'FOCO ISAN'!C16/100</f>
        <v>19832.135612907299</v>
      </c>
      <c r="E16" s="402">
        <f>FGP!L17</f>
        <v>1.758157667654723</v>
      </c>
      <c r="F16" s="370">
        <f>Datos!$I$85*'FOCO ISAN'!E16/100</f>
        <v>52333.632329317668</v>
      </c>
      <c r="G16" s="402">
        <f>FGP!R17</f>
        <v>0.63341882441421271</v>
      </c>
      <c r="H16" s="370">
        <f>Datos!$I$85*'FOCO ISAN'!G16/100</f>
        <v>18854.456842645377</v>
      </c>
      <c r="I16" s="403">
        <f t="shared" si="0"/>
        <v>91020.224784870341</v>
      </c>
      <c r="J16" s="126"/>
      <c r="K16" s="144"/>
      <c r="L16" s="102"/>
      <c r="M16" s="102"/>
      <c r="N16" s="144"/>
      <c r="O16" s="145"/>
      <c r="P16" s="146"/>
      <c r="Q16" s="147"/>
      <c r="R16" s="137"/>
      <c r="S16" s="137"/>
    </row>
    <row r="17" spans="2:19" ht="22.5" customHeight="1" x14ac:dyDescent="0.25">
      <c r="B17" s="132" t="s">
        <v>55</v>
      </c>
      <c r="C17" s="420">
        <f>FGP!F18</f>
        <v>1.6301835111893908</v>
      </c>
      <c r="D17" s="370">
        <f>Datos!$I$85*'FOCO ISAN'!C17/100</f>
        <v>48524.330936544895</v>
      </c>
      <c r="E17" s="402">
        <f>FGP!L18</f>
        <v>1.3611659616240177</v>
      </c>
      <c r="F17" s="370">
        <f>Datos!$I$85*'FOCO ISAN'!E17/100</f>
        <v>40516.706940075725</v>
      </c>
      <c r="G17" s="402">
        <f>FGP!R18</f>
        <v>0.51337177758701014</v>
      </c>
      <c r="H17" s="370">
        <f>Datos!$I$85*'FOCO ISAN'!G17/100</f>
        <v>15281.115198459578</v>
      </c>
      <c r="I17" s="403">
        <f t="shared" si="0"/>
        <v>104322.1530750802</v>
      </c>
      <c r="J17" s="126"/>
      <c r="K17" s="144"/>
      <c r="L17" s="102"/>
      <c r="M17" s="102"/>
      <c r="N17" s="144"/>
      <c r="O17" s="145"/>
      <c r="P17" s="146"/>
      <c r="Q17" s="147"/>
      <c r="R17" s="137"/>
      <c r="S17" s="137"/>
    </row>
    <row r="18" spans="2:19" ht="22.5" customHeight="1" x14ac:dyDescent="0.25">
      <c r="B18" s="132" t="s">
        <v>56</v>
      </c>
      <c r="C18" s="420">
        <f>FGP!F19</f>
        <v>1.1702237878159967</v>
      </c>
      <c r="D18" s="370">
        <f>Datos!$I$85*'FOCO ISAN'!C18/100</f>
        <v>34833.088397741405</v>
      </c>
      <c r="E18" s="402">
        <f>FGP!L19</f>
        <v>1.1149140718803174</v>
      </c>
      <c r="F18" s="370">
        <f>Datos!$I$85*'FOCO ISAN'!E18/100</f>
        <v>33186.729603380256</v>
      </c>
      <c r="G18" s="402">
        <f>FGP!R19</f>
        <v>0.67202702442043061</v>
      </c>
      <c r="H18" s="370">
        <f>Datos!$I$85*'FOCO ISAN'!G18/100</f>
        <v>20003.675357681863</v>
      </c>
      <c r="I18" s="403">
        <f t="shared" si="0"/>
        <v>88023.49335880352</v>
      </c>
      <c r="J18" s="126"/>
      <c r="K18" s="144"/>
      <c r="L18" s="102"/>
      <c r="M18" s="102"/>
      <c r="N18" s="144"/>
      <c r="O18" s="145"/>
      <c r="P18" s="146"/>
      <c r="Q18" s="147"/>
      <c r="R18" s="137"/>
      <c r="S18" s="137"/>
    </row>
    <row r="19" spans="2:19" ht="22.5" customHeight="1" x14ac:dyDescent="0.25">
      <c r="B19" s="132" t="s">
        <v>57</v>
      </c>
      <c r="C19" s="420">
        <f>FGP!F20</f>
        <v>2.0163243369249897</v>
      </c>
      <c r="D19" s="370">
        <f>Datos!$I$85*'FOCO ISAN'!C19/100</f>
        <v>60018.26710231688</v>
      </c>
      <c r="E19" s="402">
        <f>FGP!L20</f>
        <v>1.8347349071707972</v>
      </c>
      <c r="F19" s="370">
        <f>Datos!$I$85*'FOCO ISAN'!E19/100</f>
        <v>54613.043994924519</v>
      </c>
      <c r="G19" s="402">
        <f>FGP!R20</f>
        <v>0.39876675452256127</v>
      </c>
      <c r="H19" s="370">
        <f>Datos!$I$85*'FOCO ISAN'!G19/100</f>
        <v>11869.761796834111</v>
      </c>
      <c r="I19" s="403">
        <f t="shared" si="0"/>
        <v>126501.07289407551</v>
      </c>
      <c r="J19" s="126"/>
      <c r="K19" s="144"/>
      <c r="L19" s="102"/>
      <c r="M19" s="102"/>
      <c r="N19" s="144"/>
      <c r="O19" s="145"/>
      <c r="P19" s="146"/>
      <c r="Q19" s="147"/>
      <c r="R19" s="137"/>
      <c r="S19" s="137"/>
    </row>
    <row r="20" spans="2:19" ht="22.5" customHeight="1" x14ac:dyDescent="0.25">
      <c r="B20" s="132" t="s">
        <v>58</v>
      </c>
      <c r="C20" s="420">
        <f>FGP!F21</f>
        <v>0.37312538852051391</v>
      </c>
      <c r="D20" s="370">
        <f>Datos!$I$85*'FOCO ISAN'!C20/100</f>
        <v>11106.516357895385</v>
      </c>
      <c r="E20" s="402">
        <f>FGP!L21</f>
        <v>1.3127111310886792</v>
      </c>
      <c r="F20" s="370">
        <f>Datos!$I$85*'FOCO ISAN'!E20/100</f>
        <v>39074.391877855829</v>
      </c>
      <c r="G20" s="402">
        <f>FGP!R21</f>
        <v>0.91092723308555534</v>
      </c>
      <c r="H20" s="370">
        <f>Datos!$I$85*'FOCO ISAN'!G20/100</f>
        <v>27114.821254144899</v>
      </c>
      <c r="I20" s="403">
        <f t="shared" si="0"/>
        <v>77295.729489896112</v>
      </c>
      <c r="J20" s="126"/>
      <c r="K20" s="144"/>
      <c r="L20" s="102"/>
      <c r="M20" s="102"/>
      <c r="N20" s="144"/>
      <c r="O20" s="145"/>
      <c r="P20" s="146"/>
      <c r="Q20" s="147"/>
      <c r="R20" s="137"/>
      <c r="S20" s="137"/>
    </row>
    <row r="21" spans="2:19" ht="22.5" customHeight="1" x14ac:dyDescent="0.25">
      <c r="B21" s="132" t="s">
        <v>59</v>
      </c>
      <c r="C21" s="420">
        <f>FGP!F22</f>
        <v>1.2098043151678408</v>
      </c>
      <c r="D21" s="370">
        <f>Datos!$I$85*'FOCO ISAN'!C21/100</f>
        <v>36011.249380649737</v>
      </c>
      <c r="E21" s="402">
        <f>FGP!L22</f>
        <v>1.4519044172033346</v>
      </c>
      <c r="F21" s="370">
        <f>Datos!$I$85*'FOCO ISAN'!E21/100</f>
        <v>43217.643869556312</v>
      </c>
      <c r="G21" s="402">
        <f>FGP!R22</f>
        <v>0.57695057974060671</v>
      </c>
      <c r="H21" s="370">
        <f>Datos!$I$85*'FOCO ISAN'!G21/100</f>
        <v>17173.613076811514</v>
      </c>
      <c r="I21" s="403">
        <f t="shared" si="0"/>
        <v>96402.50632701756</v>
      </c>
      <c r="J21" s="126"/>
      <c r="K21" s="144"/>
      <c r="L21" s="102"/>
      <c r="M21" s="102"/>
      <c r="N21" s="144"/>
      <c r="O21" s="145"/>
      <c r="P21" s="146"/>
      <c r="Q21" s="147"/>
      <c r="R21" s="137"/>
      <c r="S21" s="137"/>
    </row>
    <row r="22" spans="2:19" ht="22.5" customHeight="1" x14ac:dyDescent="0.25">
      <c r="B22" s="132" t="s">
        <v>60</v>
      </c>
      <c r="C22" s="420">
        <f>FGP!F23</f>
        <v>4.5641933019063412</v>
      </c>
      <c r="D22" s="370">
        <f>Datos!$I$85*'FOCO ISAN'!C22/100</f>
        <v>135858.5856867586</v>
      </c>
      <c r="E22" s="402">
        <f>FGP!L23</f>
        <v>1.7690101523161208</v>
      </c>
      <c r="F22" s="370">
        <f>Datos!$I$85*'FOCO ISAN'!E22/100</f>
        <v>52656.669308638622</v>
      </c>
      <c r="G22" s="402">
        <f>FGP!R23</f>
        <v>0.24247987725995498</v>
      </c>
      <c r="H22" s="370">
        <f>Datos!$I$85*'FOCO ISAN'!G22/100</f>
        <v>7217.6989454580962</v>
      </c>
      <c r="I22" s="403">
        <f t="shared" si="0"/>
        <v>195732.95394085534</v>
      </c>
      <c r="J22" s="126"/>
      <c r="K22" s="144"/>
      <c r="L22" s="102"/>
      <c r="M22" s="102"/>
      <c r="N22" s="144"/>
      <c r="O22" s="145"/>
      <c r="P22" s="146"/>
      <c r="Q22" s="147"/>
      <c r="R22" s="137"/>
      <c r="S22" s="137"/>
    </row>
    <row r="23" spans="2:19" ht="22.5" customHeight="1" x14ac:dyDescent="0.25">
      <c r="B23" s="132" t="s">
        <v>61</v>
      </c>
      <c r="C23" s="420">
        <f>FGP!F24</f>
        <v>1.8034636603812679</v>
      </c>
      <c r="D23" s="370">
        <f>Datos!$I$85*'FOCO ISAN'!C23/100</f>
        <v>53682.218527976715</v>
      </c>
      <c r="E23" s="402">
        <f>FGP!L24</f>
        <v>2.293474854761965</v>
      </c>
      <c r="F23" s="370">
        <f>Datos!$I$85*'FOCO ISAN'!E23/100</f>
        <v>68267.978471893948</v>
      </c>
      <c r="G23" s="402">
        <f>FGP!R24</f>
        <v>0.37483462116064892</v>
      </c>
      <c r="H23" s="370">
        <f>Datos!$I$85*'FOCO ISAN'!G23/100</f>
        <v>11157.393679195822</v>
      </c>
      <c r="I23" s="403">
        <f t="shared" si="0"/>
        <v>133107.59067906649</v>
      </c>
      <c r="J23" s="126"/>
      <c r="K23" s="144"/>
      <c r="L23" s="102"/>
      <c r="M23" s="102"/>
      <c r="N23" s="144"/>
      <c r="O23" s="145"/>
      <c r="P23" s="146"/>
      <c r="Q23" s="147"/>
      <c r="R23" s="137"/>
      <c r="S23" s="137"/>
    </row>
    <row r="24" spans="2:19" ht="22.5" customHeight="1" x14ac:dyDescent="0.25">
      <c r="B24" s="132" t="s">
        <v>62</v>
      </c>
      <c r="C24" s="420">
        <f>FGP!F25</f>
        <v>20.685026419394944</v>
      </c>
      <c r="D24" s="370">
        <f>Datos!$I$85*'FOCO ISAN'!C24/100</f>
        <v>615714.15764938621</v>
      </c>
      <c r="E24" s="402">
        <f>FGP!L25</f>
        <v>1.767737742095272</v>
      </c>
      <c r="F24" s="370">
        <f>Datos!$I$85*'FOCO ISAN'!E24/100</f>
        <v>52618.794520788222</v>
      </c>
      <c r="G24" s="402">
        <f>FGP!R25</f>
        <v>6.8395783485584907E-2</v>
      </c>
      <c r="H24" s="370">
        <f>Datos!$I$85*'FOCO ISAN'!G24/100</f>
        <v>2035.8809972855975</v>
      </c>
      <c r="I24" s="403">
        <f t="shared" si="0"/>
        <v>670368.83316746005</v>
      </c>
      <c r="J24" s="126"/>
      <c r="K24" s="144"/>
      <c r="L24" s="102"/>
      <c r="M24" s="102"/>
      <c r="N24" s="144"/>
      <c r="O24" s="145"/>
      <c r="P24" s="146"/>
      <c r="Q24" s="147"/>
      <c r="R24" s="137"/>
      <c r="S24" s="137"/>
    </row>
    <row r="25" spans="2:19" ht="22.5" customHeight="1" x14ac:dyDescent="0.25">
      <c r="B25" s="132" t="s">
        <v>63</v>
      </c>
      <c r="C25" s="420">
        <f>FGP!F26</f>
        <v>1.4600600911728139</v>
      </c>
      <c r="D25" s="370">
        <f>Datos!$I$85*'FOCO ISAN'!C25/100</f>
        <v>43460.407104486112</v>
      </c>
      <c r="E25" s="402">
        <f>FGP!L26</f>
        <v>1.1192141137275298</v>
      </c>
      <c r="F25" s="370">
        <f>Datos!$I$85*'FOCO ISAN'!E25/100</f>
        <v>33314.725410111787</v>
      </c>
      <c r="G25" s="402">
        <f>FGP!R26</f>
        <v>0.59539012692972659</v>
      </c>
      <c r="H25" s="370">
        <f>Datos!$I$85*'FOCO ISAN'!G25/100</f>
        <v>17722.487902242709</v>
      </c>
      <c r="I25" s="403">
        <f t="shared" si="0"/>
        <v>94497.620416840611</v>
      </c>
      <c r="J25" s="126"/>
      <c r="K25" s="144"/>
      <c r="L25" s="102"/>
      <c r="M25" s="102"/>
      <c r="N25" s="144"/>
      <c r="O25" s="145"/>
      <c r="P25" s="146"/>
      <c r="Q25" s="147"/>
      <c r="R25" s="137"/>
      <c r="S25" s="137"/>
    </row>
    <row r="26" spans="2:19" ht="22.5" customHeight="1" thickBot="1" x14ac:dyDescent="0.3">
      <c r="B26" s="132" t="s">
        <v>64</v>
      </c>
      <c r="C26" s="420">
        <f>FGP!F27</f>
        <v>3.1678505750103603</v>
      </c>
      <c r="D26" s="370">
        <f>Datos!$I$85*'FOCO ISAN'!C26/100</f>
        <v>94294.800925310163</v>
      </c>
      <c r="E26" s="402">
        <f>FGP!L27</f>
        <v>1.3216165338087105</v>
      </c>
      <c r="F26" s="370">
        <f>Datos!$I$85*'FOCO ISAN'!E26/100</f>
        <v>39339.471671476567</v>
      </c>
      <c r="G26" s="402">
        <f>FGP!R27</f>
        <v>0.3420616209049665</v>
      </c>
      <c r="H26" s="370">
        <f>Datos!$I$85*'FOCO ISAN'!G26/100</f>
        <v>10181.866752764134</v>
      </c>
      <c r="I26" s="403">
        <f t="shared" si="0"/>
        <v>143816.13934955085</v>
      </c>
      <c r="J26" s="126"/>
      <c r="K26" s="144"/>
      <c r="L26" s="102"/>
      <c r="M26" s="102"/>
      <c r="N26" s="144"/>
      <c r="O26" s="145"/>
      <c r="P26" s="146"/>
      <c r="Q26" s="147"/>
      <c r="R26" s="137"/>
      <c r="S26" s="137"/>
    </row>
    <row r="27" spans="2:19" ht="15.75" thickBot="1" x14ac:dyDescent="0.3">
      <c r="B27" s="418" t="s">
        <v>65</v>
      </c>
      <c r="C27" s="421">
        <f t="shared" ref="C27:I27" si="1">SUM(C7:C26)</f>
        <v>59.999999999999993</v>
      </c>
      <c r="D27" s="53">
        <f t="shared" si="1"/>
        <v>1785970.6200000003</v>
      </c>
      <c r="E27" s="178">
        <f t="shared" si="1"/>
        <v>30</v>
      </c>
      <c r="F27" s="53">
        <f t="shared" si="1"/>
        <v>892985.31</v>
      </c>
      <c r="G27" s="179">
        <f t="shared" si="1"/>
        <v>10</v>
      </c>
      <c r="H27" s="53">
        <f t="shared" si="1"/>
        <v>297661.77000000008</v>
      </c>
      <c r="I27" s="172">
        <f t="shared" si="1"/>
        <v>2976617.6999999997</v>
      </c>
      <c r="J27" s="177"/>
      <c r="K27" s="149"/>
      <c r="L27" s="148"/>
      <c r="M27" s="148"/>
      <c r="N27" s="149"/>
      <c r="O27" s="129"/>
      <c r="P27" s="146"/>
      <c r="Q27" s="147"/>
      <c r="R27" s="137"/>
      <c r="S27" s="137"/>
    </row>
    <row r="28" spans="2:19" x14ac:dyDescent="0.25">
      <c r="B28" s="1045" t="s">
        <v>287</v>
      </c>
      <c r="C28" s="1045"/>
      <c r="D28" s="1045"/>
      <c r="E28" s="1045"/>
      <c r="F28" s="1045"/>
      <c r="G28" s="8"/>
      <c r="H28" s="8"/>
      <c r="I28" s="8"/>
      <c r="J28" s="144"/>
      <c r="K28" s="136"/>
      <c r="L28" s="136"/>
      <c r="M28" s="137"/>
      <c r="N28" s="137"/>
      <c r="O28" s="137"/>
      <c r="P28" s="137"/>
      <c r="Q28" s="137"/>
      <c r="R28" s="137"/>
      <c r="S28" s="137"/>
    </row>
    <row r="29" spans="2:19" x14ac:dyDescent="0.25">
      <c r="B29" s="1043"/>
      <c r="C29" s="1043"/>
      <c r="D29" s="1043"/>
      <c r="E29" s="1043"/>
      <c r="F29" s="1043"/>
      <c r="G29" s="1043"/>
      <c r="H29" s="1043"/>
      <c r="I29" s="1043"/>
    </row>
  </sheetData>
  <mergeCells count="9">
    <mergeCell ref="B29:I29"/>
    <mergeCell ref="B28:F28"/>
    <mergeCell ref="J3:J4"/>
    <mergeCell ref="B1:I1"/>
    <mergeCell ref="B3:B6"/>
    <mergeCell ref="D3:D4"/>
    <mergeCell ref="F3:F4"/>
    <mergeCell ref="H3:H4"/>
    <mergeCell ref="I3:I5"/>
  </mergeCells>
  <printOptions horizontalCentered="1"/>
  <pageMargins left="0.70866141732283472" right="0.70866141732283472" top="0.74803149606299213" bottom="0.74803149606299213" header="0.31496062992125984" footer="0.31496062992125984"/>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22</vt:i4>
      </vt:variant>
    </vt:vector>
  </HeadingPairs>
  <TitlesOfParts>
    <vt:vector size="46" baseType="lpstr">
      <vt:lpstr>CALENDARIO 2024</vt:lpstr>
      <vt:lpstr>Consolidado</vt:lpstr>
      <vt:lpstr>FGP</vt:lpstr>
      <vt:lpstr>FFM</vt:lpstr>
      <vt:lpstr>FOFIR</vt:lpstr>
      <vt:lpstr>IEPS TyA</vt:lpstr>
      <vt:lpstr>IEPS GyD </vt:lpstr>
      <vt:lpstr>Incentivo ISAN</vt:lpstr>
      <vt:lpstr>FOCO ISAN</vt:lpstr>
      <vt:lpstr>ISR Enaje</vt:lpstr>
      <vt:lpstr>IEPS 2014 </vt:lpstr>
      <vt:lpstr>CENSO 2020</vt:lpstr>
      <vt:lpstr>Predial y Agua</vt:lpstr>
      <vt:lpstr>F.G.P. 2024</vt:lpstr>
      <vt:lpstr>F.F.M.2024</vt:lpstr>
      <vt:lpstr>IEPS2024</vt:lpstr>
      <vt:lpstr>IEPSGAS2024</vt:lpstr>
      <vt:lpstr>FOFIR2024</vt:lpstr>
      <vt:lpstr>ISAN 2024</vt:lpstr>
      <vt:lpstr>FOCO ISAN 2024 </vt:lpstr>
      <vt:lpstr>ISR 2024</vt:lpstr>
      <vt:lpstr>ISR EJANE 2024</vt:lpstr>
      <vt:lpstr>IEPS2020 (2)</vt:lpstr>
      <vt:lpstr>ISAN Recaudacion (2)</vt:lpstr>
      <vt:lpstr>'CALENDARIO 2024'!Área_de_impresión</vt:lpstr>
      <vt:lpstr>'CENSO 2020'!Área_de_impresión</vt:lpstr>
      <vt:lpstr>Datos!Área_de_impresión</vt:lpstr>
      <vt:lpstr>F.F.M.2024!Área_de_impresión</vt:lpstr>
      <vt:lpstr>'F.G.P. 2024'!Área_de_impresión</vt:lpstr>
      <vt:lpstr>'FOCO ISAN'!Área_de_impresión</vt:lpstr>
      <vt:lpstr>'FOCO ISAN 2024 '!Área_de_impresión</vt:lpstr>
      <vt:lpstr>FOFIR!Área_de_impresión</vt:lpstr>
      <vt:lpstr>FOFIR2024!Área_de_impresión</vt:lpstr>
      <vt:lpstr>'IEPS 2014 '!Área_de_impresión</vt:lpstr>
      <vt:lpstr>'IEPS GyD '!Área_de_impresión</vt:lpstr>
      <vt:lpstr>'IEPS TyA'!Área_de_impresión</vt:lpstr>
      <vt:lpstr>IEPS2024!Área_de_impresión</vt:lpstr>
      <vt:lpstr>IEPSGAS2024!Área_de_impresión</vt:lpstr>
      <vt:lpstr>'Incentivo ISAN'!Área_de_impresión</vt:lpstr>
      <vt:lpstr>'ISAN 2024'!Área_de_impresión</vt:lpstr>
      <vt:lpstr>'ISR 2024'!Área_de_impresión</vt:lpstr>
      <vt:lpstr>'ISR EJANE 2024'!Área_de_impresión</vt:lpstr>
      <vt:lpstr>'ISR Enaje'!Área_de_impresión</vt:lpstr>
      <vt:lpstr>'Predial y Agua'!Área_de_impresión</vt:lpstr>
      <vt:lpstr>'X22.55 DOF'!Área_de_impresión</vt:lpstr>
      <vt:lpstr>'X22.55 POE'!Área_de_impresión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Palmira González</cp:lastModifiedBy>
  <cp:lastPrinted>2024-02-02T19:25:09Z</cp:lastPrinted>
  <dcterms:created xsi:type="dcterms:W3CDTF">2018-01-30T21:48:08Z</dcterms:created>
  <dcterms:modified xsi:type="dcterms:W3CDTF">2024-02-09T21:42:15Z</dcterms:modified>
</cp:coreProperties>
</file>